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75" windowWidth="15480" windowHeight="7935" tabRatio="0" activeTab="0"/>
  </bookViews>
  <sheets>
    <sheet name="Lançamento" sheetId="1" r:id="rId1"/>
    <sheet name="Configuração" sheetId="2" r:id="rId2"/>
    <sheet name="con" sheetId="3" r:id="rId3"/>
  </sheets>
  <definedNames>
    <definedName name="_xlfn.COUNTIFS" hidden="1">#NAME?</definedName>
    <definedName name="_xlfn.SUMIFS" hidden="1">#NAME?</definedName>
    <definedName name="_xlnm.Print_Area" localSheetId="0">'Lançamento'!$C$1:$X$63</definedName>
  </definedNames>
  <calcPr fullCalcOnLoad="1"/>
</workbook>
</file>

<file path=xl/sharedStrings.xml><?xml version="1.0" encoding="utf-8"?>
<sst xmlns="http://schemas.openxmlformats.org/spreadsheetml/2006/main" count="120" uniqueCount="106">
  <si>
    <t>Data</t>
  </si>
  <si>
    <t>Carga horária</t>
  </si>
  <si>
    <t>Entrada</t>
  </si>
  <si>
    <t>Saída</t>
  </si>
  <si>
    <t>Feriado</t>
  </si>
  <si>
    <t>Falta</t>
  </si>
  <si>
    <t>Empresa:</t>
  </si>
  <si>
    <t>Funcionário(a):</t>
  </si>
  <si>
    <t>Mês/Ano:</t>
  </si>
  <si>
    <t>Jornada de trabalho diário de segunda a sexta:</t>
  </si>
  <si>
    <t>Jornada de trabalho diário aos sábados:</t>
  </si>
  <si>
    <t>Jornada de trabalho diário aos domingos:</t>
  </si>
  <si>
    <t>feriado</t>
  </si>
  <si>
    <t>Salário:</t>
  </si>
  <si>
    <t>Dias de semana</t>
  </si>
  <si>
    <t>Domingos e feriados</t>
  </si>
  <si>
    <t>DSR`s</t>
  </si>
  <si>
    <t>Úteis</t>
  </si>
  <si>
    <t>Atestado</t>
  </si>
  <si>
    <t>Desconta DSR em caso de falta?</t>
  </si>
  <si>
    <t>falta DSR</t>
  </si>
  <si>
    <t>semana</t>
  </si>
  <si>
    <t>semana 1</t>
  </si>
  <si>
    <t>semana 2</t>
  </si>
  <si>
    <t>semana 3</t>
  </si>
  <si>
    <t>semana 4</t>
  </si>
  <si>
    <t>semana 5</t>
  </si>
  <si>
    <t>faltas na semana</t>
  </si>
  <si>
    <t>dias de dsr</t>
  </si>
  <si>
    <t>Feriados na semana</t>
  </si>
  <si>
    <t>Horas dias de semana</t>
  </si>
  <si>
    <t>Horas domingos</t>
  </si>
  <si>
    <t>Horas Feriados</t>
  </si>
  <si>
    <t>Horas negativo</t>
  </si>
  <si>
    <t>Valor dia de semana</t>
  </si>
  <si>
    <t>Valor domingo/feriado</t>
  </si>
  <si>
    <t>DSR falta</t>
  </si>
  <si>
    <t>dia da semana</t>
  </si>
  <si>
    <t>Sem</t>
  </si>
  <si>
    <t>Informação</t>
  </si>
  <si>
    <t>Jornada</t>
  </si>
  <si>
    <t>Dia</t>
  </si>
  <si>
    <t>Horas</t>
  </si>
  <si>
    <t>Comp mês anterior</t>
  </si>
  <si>
    <t>Interjornada</t>
  </si>
  <si>
    <t>Interjornada fora</t>
  </si>
  <si>
    <t>interjornada dentro</t>
  </si>
  <si>
    <t>conf dentro</t>
  </si>
  <si>
    <t>cond dent for</t>
  </si>
  <si>
    <t>conf fora dentro</t>
  </si>
  <si>
    <t>conf fora</t>
  </si>
  <si>
    <t>Horas Interjornada</t>
  </si>
  <si>
    <t>Horas almoço</t>
  </si>
  <si>
    <t>H.E. Almoço</t>
  </si>
  <si>
    <t>Horas Interjornada domingos</t>
  </si>
  <si>
    <t>Horas Interjornada feriados</t>
  </si>
  <si>
    <t>Horas domingos/feriados</t>
  </si>
  <si>
    <t>Horas dom/fer saldo</t>
  </si>
  <si>
    <t>Horas inter dom/fer</t>
  </si>
  <si>
    <t>Almoço domingo</t>
  </si>
  <si>
    <t>Almoço feriado</t>
  </si>
  <si>
    <t>Almoço dom/feriado</t>
  </si>
  <si>
    <t>almoço saldo dom/fer</t>
  </si>
  <si>
    <t>Horas Extras</t>
  </si>
  <si>
    <t>H.E. Interjornada</t>
  </si>
  <si>
    <t>interjornada</t>
  </si>
  <si>
    <t>Horas negativas</t>
  </si>
  <si>
    <t>Valor Total</t>
  </si>
  <si>
    <t>Horas extras</t>
  </si>
  <si>
    <t>Total bruto</t>
  </si>
  <si>
    <t>Valor a receber</t>
  </si>
  <si>
    <t>Subtotal</t>
  </si>
  <si>
    <t>Sim</t>
  </si>
  <si>
    <t>Jornada mensal com DSR</t>
  </si>
  <si>
    <t>Total da Jornada de trabalho semanal:</t>
  </si>
  <si>
    <t>Ex: 652,00</t>
  </si>
  <si>
    <t>Ex: 08:00</t>
  </si>
  <si>
    <t>Ex: 04:00</t>
  </si>
  <si>
    <t>Ex: 00:00</t>
  </si>
  <si>
    <t>Não</t>
  </si>
  <si>
    <t>Configuração</t>
  </si>
  <si>
    <t>Ex: 01/2011</t>
  </si>
  <si>
    <t>falta</t>
  </si>
  <si>
    <t>Horas normais</t>
  </si>
  <si>
    <t>horas  dias semana bruto</t>
  </si>
  <si>
    <t>horas devendo</t>
  </si>
  <si>
    <t>Esta ação apagará todos dados lançados na planilha.</t>
  </si>
  <si>
    <t>Deseja continuar?</t>
  </si>
  <si>
    <t>Porcentagem das horas extras</t>
  </si>
  <si>
    <t>Formula domingo/feriado</t>
  </si>
  <si>
    <t>Sincomerciários</t>
  </si>
  <si>
    <t>Filiado:</t>
  </si>
  <si>
    <t>Calcula DSR sobre Hora Extra?</t>
  </si>
  <si>
    <t>Dados do sindicato</t>
  </si>
  <si>
    <t>Desenvolvido por: Acácio Jr   -   adm@sincomerciarios.org.br</t>
  </si>
  <si>
    <t>Calc H.E. 1.02</t>
  </si>
  <si>
    <t>Nome fantasia:</t>
  </si>
  <si>
    <t>Razão social:</t>
  </si>
  <si>
    <t>Endereço completo:</t>
  </si>
  <si>
    <t>Telefone:</t>
  </si>
  <si>
    <t>Site:</t>
  </si>
  <si>
    <t>semana 6</t>
  </si>
  <si>
    <t>Sindicato dos Empregados no Comércio de Matão e Taquaritinga</t>
  </si>
  <si>
    <t>www.secmatao.org.br</t>
  </si>
  <si>
    <t>(16) 3382-4286</t>
  </si>
  <si>
    <t>Avenida Tiradentes, 602 - Centro - Matão (SP) - CEP 15.990-185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</si>
</sst>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h:mm;@"/>
    <numFmt numFmtId="173" formatCode="[h]:mm:ss;@"/>
    <numFmt numFmtId="174" formatCode="0.00000"/>
    <numFmt numFmtId="175" formatCode="[$-416]mmmm\-yy;@"/>
    <numFmt numFmtId="176" formatCode="[h]:mm"/>
    <numFmt numFmtId="177" formatCode="[$-F400]h:mm:ss\ AM/PM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"/>
    <numFmt numFmtId="18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1"/>
      <color indexed="56"/>
      <name val="Calibri"/>
      <family val="2"/>
    </font>
    <font>
      <sz val="22"/>
      <color indexed="56"/>
      <name val="Calibri"/>
      <family val="2"/>
    </font>
    <font>
      <sz val="9"/>
      <color indexed="8"/>
      <name val="Calibri"/>
      <family val="2"/>
    </font>
    <font>
      <sz val="9"/>
      <color indexed="56"/>
      <name val="Calibri"/>
      <family val="2"/>
    </font>
    <font>
      <sz val="8"/>
      <color indexed="8"/>
      <name val="Calibri"/>
      <family val="2"/>
    </font>
    <font>
      <b/>
      <sz val="14"/>
      <color indexed="63"/>
      <name val="Calibri"/>
      <family val="2"/>
    </font>
    <font>
      <i/>
      <sz val="9"/>
      <color indexed="62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8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0"/>
      <color indexed="8"/>
      <name val="Calibri"/>
      <family val="2"/>
    </font>
    <font>
      <i/>
      <sz val="8"/>
      <color indexed="9"/>
      <name val="Calibri"/>
      <family val="2"/>
    </font>
    <font>
      <b/>
      <i/>
      <sz val="10"/>
      <color indexed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i/>
      <sz val="8"/>
      <color theme="0"/>
      <name val="Calibri"/>
      <family val="2"/>
    </font>
    <font>
      <b/>
      <i/>
      <sz val="10"/>
      <color theme="0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ck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ck"/>
      <right style="thin"/>
      <top style="thin">
        <color indexed="23"/>
      </top>
      <bottom style="thick"/>
    </border>
    <border>
      <left style="thin"/>
      <right style="thin"/>
      <top style="thin">
        <color indexed="23"/>
      </top>
      <bottom style="thick"/>
    </border>
    <border>
      <left style="thin"/>
      <right style="medium"/>
      <top style="thin">
        <color indexed="23"/>
      </top>
      <bottom style="thick"/>
    </border>
    <border>
      <left style="thin"/>
      <right style="thin"/>
      <top style="thin">
        <color indexed="23"/>
      </top>
      <bottom style="medium"/>
    </border>
    <border>
      <left style="thin"/>
      <right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 style="medium"/>
    </border>
    <border>
      <left style="medium"/>
      <right style="thin"/>
      <top style="thick"/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thin"/>
      <right style="thick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thick"/>
    </border>
    <border>
      <left style="thin"/>
      <right style="thick"/>
      <top style="thin">
        <color indexed="23"/>
      </top>
      <bottom style="thick"/>
    </border>
    <border>
      <left/>
      <right/>
      <top style="thick"/>
      <bottom style="medium"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thin"/>
      <right style="thick"/>
      <top/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/>
      <right/>
      <top style="thin">
        <color indexed="63"/>
      </top>
      <bottom/>
    </border>
    <border>
      <left/>
      <right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ck">
        <color indexed="18"/>
      </bottom>
    </border>
    <border>
      <left/>
      <right/>
      <top style="thin">
        <color indexed="18"/>
      </top>
      <bottom/>
    </border>
    <border>
      <left/>
      <right/>
      <top/>
      <bottom style="thin">
        <color indexed="18"/>
      </bottom>
    </border>
    <border>
      <left style="thin"/>
      <right style="medium"/>
      <top/>
      <bottom style="thin">
        <color indexed="23"/>
      </bottom>
    </border>
    <border>
      <left/>
      <right style="thin"/>
      <top style="thin">
        <color indexed="23"/>
      </top>
      <bottom style="thick"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Dashed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ck"/>
      <top style="thin">
        <color indexed="23"/>
      </top>
      <bottom style="thick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/>
    </border>
    <border>
      <left/>
      <right/>
      <top style="thin"/>
      <bottom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thin">
        <color indexed="63"/>
      </right>
      <top style="thin"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261"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" fontId="0" fillId="0" borderId="0" xfId="0" applyNumberFormat="1" applyFill="1" applyBorder="1" applyAlignment="1">
      <alignment vertical="center"/>
    </xf>
    <xf numFmtId="173" fontId="0" fillId="0" borderId="0" xfId="0" applyNumberForma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14" fontId="0" fillId="0" borderId="16" xfId="0" applyNumberForma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4" fontId="0" fillId="0" borderId="18" xfId="0" applyNumberForma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170" fontId="1" fillId="0" borderId="0" xfId="46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173" fontId="0" fillId="33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70" fontId="0" fillId="0" borderId="0" xfId="0" applyNumberFormat="1" applyFill="1" applyBorder="1" applyAlignment="1">
      <alignment vertical="center"/>
    </xf>
    <xf numFmtId="14" fontId="0" fillId="0" borderId="21" xfId="0" applyNumberForma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center" vertical="center"/>
    </xf>
    <xf numFmtId="20" fontId="8" fillId="0" borderId="19" xfId="0" applyNumberFormat="1" applyFont="1" applyFill="1" applyBorder="1" applyAlignment="1">
      <alignment horizontal="center" vertical="center"/>
    </xf>
    <xf numFmtId="20" fontId="8" fillId="0" borderId="2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0" fontId="6" fillId="0" borderId="25" xfId="0" applyNumberFormat="1" applyFont="1" applyFill="1" applyBorder="1" applyAlignment="1">
      <alignment horizontal="center" vertical="center"/>
    </xf>
    <xf numFmtId="20" fontId="6" fillId="0" borderId="26" xfId="0" applyNumberFormat="1" applyFont="1" applyFill="1" applyBorder="1" applyAlignment="1">
      <alignment horizontal="center" vertical="center"/>
    </xf>
    <xf numFmtId="20" fontId="6" fillId="0" borderId="27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20" fontId="7" fillId="0" borderId="29" xfId="0" applyNumberFormat="1" applyFont="1" applyFill="1" applyBorder="1" applyAlignment="1">
      <alignment horizontal="center" vertical="center"/>
    </xf>
    <xf numFmtId="20" fontId="7" fillId="0" borderId="30" xfId="0" applyNumberFormat="1" applyFont="1" applyFill="1" applyBorder="1" applyAlignment="1">
      <alignment horizontal="center" vertical="center"/>
    </xf>
    <xf numFmtId="20" fontId="7" fillId="0" borderId="31" xfId="0" applyNumberFormat="1" applyFont="1" applyFill="1" applyBorder="1" applyAlignment="1">
      <alignment horizontal="center" vertical="center"/>
    </xf>
    <xf numFmtId="20" fontId="7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20" fontId="0" fillId="0" borderId="35" xfId="0" applyNumberForma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0" fontId="8" fillId="0" borderId="36" xfId="0" applyNumberFormat="1" applyFont="1" applyFill="1" applyBorder="1" applyAlignment="1">
      <alignment horizontal="center" vertical="center"/>
    </xf>
    <xf numFmtId="20" fontId="8" fillId="0" borderId="37" xfId="0" applyNumberFormat="1" applyFont="1" applyFill="1" applyBorder="1" applyAlignment="1">
      <alignment horizontal="center" vertical="center"/>
    </xf>
    <xf numFmtId="20" fontId="8" fillId="0" borderId="3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center" vertical="center"/>
    </xf>
    <xf numFmtId="172" fontId="7" fillId="0" borderId="39" xfId="0" applyNumberFormat="1" applyFont="1" applyFill="1" applyBorder="1" applyAlignment="1">
      <alignment horizontal="center" vertical="center"/>
    </xf>
    <xf numFmtId="20" fontId="7" fillId="0" borderId="18" xfId="0" applyNumberFormat="1" applyFont="1" applyFill="1" applyBorder="1" applyAlignment="1">
      <alignment horizontal="center" vertical="center"/>
    </xf>
    <xf numFmtId="172" fontId="7" fillId="0" borderId="30" xfId="0" applyNumberFormat="1" applyFont="1" applyFill="1" applyBorder="1" applyAlignment="1">
      <alignment horizontal="center" vertical="center"/>
    </xf>
    <xf numFmtId="20" fontId="7" fillId="0" borderId="21" xfId="0" applyNumberFormat="1" applyFont="1" applyFill="1" applyBorder="1" applyAlignment="1">
      <alignment horizontal="center" vertical="center"/>
    </xf>
    <xf numFmtId="172" fontId="7" fillId="0" borderId="32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20" fontId="0" fillId="34" borderId="0" xfId="0" applyNumberFormat="1" applyFill="1" applyBorder="1" applyAlignment="1">
      <alignment vertical="center"/>
    </xf>
    <xf numFmtId="173" fontId="3" fillId="34" borderId="0" xfId="0" applyNumberFormat="1" applyFont="1" applyFill="1" applyBorder="1" applyAlignment="1">
      <alignment vertical="center"/>
    </xf>
    <xf numFmtId="172" fontId="3" fillId="34" borderId="0" xfId="0" applyNumberFormat="1" applyFont="1" applyFill="1" applyBorder="1" applyAlignment="1">
      <alignment vertical="center"/>
    </xf>
    <xf numFmtId="172" fontId="2" fillId="34" borderId="0" xfId="0" applyNumberFormat="1" applyFont="1" applyFill="1" applyBorder="1" applyAlignment="1">
      <alignment vertical="center"/>
    </xf>
    <xf numFmtId="172" fontId="4" fillId="34" borderId="0" xfId="0" applyNumberFormat="1" applyFont="1" applyFill="1" applyBorder="1" applyAlignment="1">
      <alignment vertical="center"/>
    </xf>
    <xf numFmtId="20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173" fontId="0" fillId="34" borderId="0" xfId="0" applyNumberForma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173" fontId="3" fillId="34" borderId="0" xfId="0" applyNumberFormat="1" applyFont="1" applyFill="1" applyBorder="1" applyAlignment="1">
      <alignment horizontal="right" vertical="center"/>
    </xf>
    <xf numFmtId="173" fontId="4" fillId="34" borderId="0" xfId="0" applyNumberFormat="1" applyFont="1" applyFill="1" applyBorder="1" applyAlignment="1">
      <alignment vertical="center"/>
    </xf>
    <xf numFmtId="14" fontId="0" fillId="35" borderId="18" xfId="0" applyNumberFormat="1" applyFill="1" applyBorder="1" applyAlignment="1">
      <alignment vertical="center"/>
    </xf>
    <xf numFmtId="1" fontId="4" fillId="35" borderId="19" xfId="0" applyNumberFormat="1" applyFont="1" applyFill="1" applyBorder="1" applyAlignment="1">
      <alignment vertical="center"/>
    </xf>
    <xf numFmtId="0" fontId="4" fillId="35" borderId="19" xfId="0" applyNumberFormat="1" applyFont="1" applyFill="1" applyBorder="1" applyAlignment="1">
      <alignment vertical="center"/>
    </xf>
    <xf numFmtId="20" fontId="0" fillId="35" borderId="35" xfId="0" applyNumberFormat="1" applyFill="1" applyBorder="1" applyAlignment="1">
      <alignment horizontal="center" vertical="center"/>
    </xf>
    <xf numFmtId="20" fontId="7" fillId="35" borderId="18" xfId="0" applyNumberFormat="1" applyFont="1" applyFill="1" applyBorder="1" applyAlignment="1">
      <alignment horizontal="center" vertical="center"/>
    </xf>
    <xf numFmtId="172" fontId="7" fillId="35" borderId="30" xfId="0" applyNumberFormat="1" applyFont="1" applyFill="1" applyBorder="1" applyAlignment="1">
      <alignment horizontal="center" vertical="center"/>
    </xf>
    <xf numFmtId="20" fontId="8" fillId="35" borderId="37" xfId="0" applyNumberFormat="1" applyFont="1" applyFill="1" applyBorder="1" applyAlignment="1">
      <alignment horizontal="center" vertical="center"/>
    </xf>
    <xf numFmtId="20" fontId="8" fillId="35" borderId="19" xfId="0" applyNumberFormat="1" applyFont="1" applyFill="1" applyBorder="1" applyAlignment="1">
      <alignment horizontal="center" vertical="center"/>
    </xf>
    <xf numFmtId="20" fontId="6" fillId="35" borderId="26" xfId="0" applyNumberFormat="1" applyFont="1" applyFill="1" applyBorder="1" applyAlignment="1">
      <alignment horizontal="center" vertical="center"/>
    </xf>
    <xf numFmtId="20" fontId="7" fillId="35" borderId="29" xfId="0" applyNumberFormat="1" applyFont="1" applyFill="1" applyBorder="1" applyAlignment="1">
      <alignment horizontal="center" vertical="center"/>
    </xf>
    <xf numFmtId="20" fontId="7" fillId="35" borderId="30" xfId="0" applyNumberFormat="1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66" fontId="0" fillId="34" borderId="0" xfId="0" applyNumberFormat="1" applyFill="1" applyBorder="1" applyAlignment="1">
      <alignment horizontal="left" vertical="center"/>
    </xf>
    <xf numFmtId="0" fontId="3" fillId="34" borderId="40" xfId="0" applyFont="1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4" fillId="34" borderId="40" xfId="0" applyFont="1" applyFill="1" applyBorder="1" applyAlignment="1">
      <alignment vertical="center"/>
    </xf>
    <xf numFmtId="0" fontId="3" fillId="34" borderId="40" xfId="0" applyFont="1" applyFill="1" applyBorder="1" applyAlignment="1">
      <alignment horizontal="center" vertical="center"/>
    </xf>
    <xf numFmtId="166" fontId="3" fillId="34" borderId="40" xfId="46" applyNumberFormat="1" applyFont="1" applyFill="1" applyBorder="1" applyAlignment="1">
      <alignment horizontal="left" vertical="center"/>
    </xf>
    <xf numFmtId="166" fontId="7" fillId="34" borderId="40" xfId="46" applyNumberFormat="1" applyFont="1" applyFill="1" applyBorder="1" applyAlignment="1">
      <alignment horizontal="left" vertical="center"/>
    </xf>
    <xf numFmtId="0" fontId="3" fillId="34" borderId="41" xfId="0" applyFont="1" applyFill="1" applyBorder="1" applyAlignment="1">
      <alignment vertical="center"/>
    </xf>
    <xf numFmtId="0" fontId="3" fillId="34" borderId="42" xfId="0" applyFont="1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4" fillId="34" borderId="43" xfId="0" applyFont="1" applyFill="1" applyBorder="1" applyAlignment="1">
      <alignment vertical="center"/>
    </xf>
    <xf numFmtId="0" fontId="0" fillId="34" borderId="44" xfId="0" applyFill="1" applyBorder="1" applyAlignment="1">
      <alignment horizontal="center" vertical="center"/>
    </xf>
    <xf numFmtId="173" fontId="0" fillId="36" borderId="40" xfId="0" applyNumberFormat="1" applyFill="1" applyBorder="1" applyAlignment="1">
      <alignment vertical="center"/>
    </xf>
    <xf numFmtId="0" fontId="0" fillId="36" borderId="45" xfId="0" applyFill="1" applyBorder="1" applyAlignment="1">
      <alignment vertical="center"/>
    </xf>
    <xf numFmtId="0" fontId="3" fillId="34" borderId="46" xfId="0" applyFont="1" applyFill="1" applyBorder="1" applyAlignment="1">
      <alignment horizontal="center" vertical="center"/>
    </xf>
    <xf numFmtId="0" fontId="0" fillId="37" borderId="47" xfId="0" applyFill="1" applyBorder="1" applyAlignment="1">
      <alignment vertical="center"/>
    </xf>
    <xf numFmtId="0" fontId="4" fillId="37" borderId="47" xfId="0" applyFont="1" applyFill="1" applyBorder="1" applyAlignment="1">
      <alignment vertical="center"/>
    </xf>
    <xf numFmtId="0" fontId="0" fillId="37" borderId="48" xfId="0" applyFill="1" applyBorder="1" applyAlignment="1">
      <alignment vertical="center"/>
    </xf>
    <xf numFmtId="0" fontId="4" fillId="37" borderId="48" xfId="0" applyFont="1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3" fillId="34" borderId="0" xfId="0" applyNumberFormat="1" applyFont="1" applyFill="1" applyBorder="1" applyAlignment="1">
      <alignment vertical="center"/>
    </xf>
    <xf numFmtId="174" fontId="0" fillId="34" borderId="0" xfId="0" applyNumberFormat="1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2" fillId="34" borderId="51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4" fillId="34" borderId="51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9" fillId="34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34" borderId="52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0" fillId="0" borderId="36" xfId="0" applyFill="1" applyBorder="1" applyAlignment="1" applyProtection="1">
      <alignment vertical="center"/>
      <protection locked="0"/>
    </xf>
    <xf numFmtId="172" fontId="2" fillId="0" borderId="25" xfId="0" applyNumberFormat="1" applyFont="1" applyFill="1" applyBorder="1" applyAlignment="1" applyProtection="1">
      <alignment vertical="center"/>
      <protection locked="0"/>
    </xf>
    <xf numFmtId="20" fontId="0" fillId="0" borderId="16" xfId="0" applyNumberFormat="1" applyFill="1" applyBorder="1" applyAlignment="1" applyProtection="1">
      <alignment horizontal="center" vertical="center"/>
      <protection locked="0"/>
    </xf>
    <xf numFmtId="20" fontId="0" fillId="0" borderId="54" xfId="0" applyNumberFormat="1" applyFill="1" applyBorder="1" applyAlignment="1" applyProtection="1">
      <alignment horizontal="center" vertical="center"/>
      <protection locked="0"/>
    </xf>
    <xf numFmtId="20" fontId="0" fillId="0" borderId="36" xfId="0" applyNumberFormat="1" applyFill="1" applyBorder="1" applyAlignment="1" applyProtection="1">
      <alignment horizontal="center" vertical="center"/>
      <protection locked="0"/>
    </xf>
    <xf numFmtId="20" fontId="0" fillId="0" borderId="39" xfId="0" applyNumberFormat="1" applyFill="1" applyBorder="1" applyAlignment="1" applyProtection="1">
      <alignment horizontal="center" vertical="center"/>
      <protection locked="0"/>
    </xf>
    <xf numFmtId="0" fontId="0" fillId="35" borderId="37" xfId="0" applyFill="1" applyBorder="1" applyAlignment="1" applyProtection="1">
      <alignment vertical="center"/>
      <protection locked="0"/>
    </xf>
    <xf numFmtId="20" fontId="0" fillId="35" borderId="18" xfId="0" applyNumberFormat="1" applyFill="1" applyBorder="1" applyAlignment="1" applyProtection="1">
      <alignment horizontal="center" vertical="center"/>
      <protection locked="0"/>
    </xf>
    <xf numFmtId="20" fontId="0" fillId="35" borderId="20" xfId="0" applyNumberFormat="1" applyFill="1" applyBorder="1" applyAlignment="1" applyProtection="1">
      <alignment horizontal="center" vertical="center"/>
      <protection locked="0"/>
    </xf>
    <xf numFmtId="20" fontId="0" fillId="35" borderId="37" xfId="0" applyNumberFormat="1" applyFill="1" applyBorder="1" applyAlignment="1" applyProtection="1">
      <alignment horizontal="center" vertical="center"/>
      <protection locked="0"/>
    </xf>
    <xf numFmtId="20" fontId="0" fillId="35" borderId="30" xfId="0" applyNumberForma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20" fontId="0" fillId="0" borderId="18" xfId="0" applyNumberFormat="1" applyFill="1" applyBorder="1" applyAlignment="1" applyProtection="1">
      <alignment horizontal="center" vertical="center"/>
      <protection locked="0"/>
    </xf>
    <xf numFmtId="20" fontId="0" fillId="0" borderId="20" xfId="0" applyNumberFormat="1" applyFill="1" applyBorder="1" applyAlignment="1" applyProtection="1">
      <alignment horizontal="center" vertical="center"/>
      <protection locked="0"/>
    </xf>
    <xf numFmtId="20" fontId="0" fillId="0" borderId="37" xfId="0" applyNumberFormat="1" applyFill="1" applyBorder="1" applyAlignment="1" applyProtection="1">
      <alignment horizontal="center" vertical="center"/>
      <protection locked="0"/>
    </xf>
    <xf numFmtId="20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37" xfId="0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top"/>
    </xf>
    <xf numFmtId="0" fontId="0" fillId="34" borderId="0" xfId="0" applyFill="1" applyAlignment="1">
      <alignment/>
    </xf>
    <xf numFmtId="173" fontId="14" fillId="34" borderId="0" xfId="0" applyNumberFormat="1" applyFont="1" applyFill="1" applyBorder="1" applyAlignment="1">
      <alignment vertical="center"/>
    </xf>
    <xf numFmtId="176" fontId="0" fillId="34" borderId="40" xfId="0" applyNumberFormat="1" applyFill="1" applyBorder="1" applyAlignment="1">
      <alignment horizontal="left" vertical="center"/>
    </xf>
    <xf numFmtId="176" fontId="0" fillId="34" borderId="56" xfId="0" applyNumberForma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right" vertical="center"/>
    </xf>
    <xf numFmtId="166" fontId="5" fillId="34" borderId="0" xfId="46" applyNumberFormat="1" applyFont="1" applyFill="1" applyBorder="1" applyAlignment="1">
      <alignment horizontal="left" vertical="center"/>
    </xf>
    <xf numFmtId="166" fontId="15" fillId="34" borderId="0" xfId="46" applyNumberFormat="1" applyFont="1" applyFill="1" applyBorder="1" applyAlignment="1">
      <alignment horizontal="right" vertical="center"/>
    </xf>
    <xf numFmtId="177" fontId="3" fillId="34" borderId="0" xfId="46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176" fontId="0" fillId="0" borderId="57" xfId="0" applyNumberFormat="1" applyFill="1" applyBorder="1" applyAlignment="1">
      <alignment vertical="center"/>
    </xf>
    <xf numFmtId="176" fontId="0" fillId="38" borderId="57" xfId="0" applyNumberFormat="1" applyFill="1" applyBorder="1" applyAlignment="1">
      <alignment vertical="center"/>
    </xf>
    <xf numFmtId="176" fontId="0" fillId="33" borderId="57" xfId="0" applyNumberFormat="1" applyFill="1" applyBorder="1" applyAlignment="1">
      <alignment vertical="center"/>
    </xf>
    <xf numFmtId="176" fontId="0" fillId="39" borderId="0" xfId="0" applyNumberFormat="1" applyFill="1" applyBorder="1" applyAlignment="1">
      <alignment vertical="center"/>
    </xf>
    <xf numFmtId="176" fontId="16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left" vertical="center"/>
    </xf>
    <xf numFmtId="173" fontId="7" fillId="35" borderId="0" xfId="0" applyNumberFormat="1" applyFont="1" applyFill="1" applyBorder="1" applyAlignment="1">
      <alignment vertical="center"/>
    </xf>
    <xf numFmtId="172" fontId="7" fillId="35" borderId="0" xfId="0" applyNumberFormat="1" applyFont="1" applyFill="1" applyBorder="1" applyAlignment="1">
      <alignment vertical="center"/>
    </xf>
    <xf numFmtId="172" fontId="8" fillId="35" borderId="0" xfId="0" applyNumberFormat="1" applyFont="1" applyFill="1" applyBorder="1" applyAlignment="1">
      <alignment vertical="center"/>
    </xf>
    <xf numFmtId="172" fontId="6" fillId="35" borderId="0" xfId="0" applyNumberFormat="1" applyFont="1" applyFill="1" applyBorder="1" applyAlignment="1">
      <alignment vertical="center"/>
    </xf>
    <xf numFmtId="20" fontId="7" fillId="35" borderId="0" xfId="0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66" fontId="3" fillId="34" borderId="0" xfId="46" applyNumberFormat="1" applyFont="1" applyFill="1" applyBorder="1" applyAlignment="1">
      <alignment horizontal="left" vertical="center"/>
    </xf>
    <xf numFmtId="166" fontId="7" fillId="34" borderId="0" xfId="46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vertical="top"/>
    </xf>
    <xf numFmtId="20" fontId="0" fillId="2" borderId="58" xfId="0" applyNumberFormat="1" applyFill="1" applyBorder="1" applyAlignment="1" applyProtection="1">
      <alignment horizontal="center" vertical="center"/>
      <protection locked="0"/>
    </xf>
    <xf numFmtId="20" fontId="0" fillId="0" borderId="21" xfId="0" applyNumberFormat="1" applyFill="1" applyBorder="1" applyAlignment="1" applyProtection="1">
      <alignment horizontal="center" vertical="center"/>
      <protection locked="0"/>
    </xf>
    <xf numFmtId="20" fontId="0" fillId="0" borderId="32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38" fillId="41" borderId="0" xfId="0" applyFont="1" applyFill="1" applyAlignment="1">
      <alignment vertical="center"/>
    </xf>
    <xf numFmtId="0" fontId="56" fillId="41" borderId="0" xfId="0" applyFon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57" fillId="41" borderId="0" xfId="0" applyFont="1" applyFill="1" applyAlignment="1">
      <alignment vertical="center"/>
    </xf>
    <xf numFmtId="0" fontId="58" fillId="34" borderId="0" xfId="0" applyFont="1" applyFill="1" applyAlignment="1">
      <alignment/>
    </xf>
    <xf numFmtId="9" fontId="54" fillId="2" borderId="59" xfId="0" applyNumberFormat="1" applyFont="1" applyFill="1" applyBorder="1" applyAlignment="1" applyProtection="1">
      <alignment horizontal="center"/>
      <protection locked="0"/>
    </xf>
    <xf numFmtId="9" fontId="54" fillId="2" borderId="60" xfId="0" applyNumberFormat="1" applyFont="1" applyFill="1" applyBorder="1" applyAlignment="1" applyProtection="1">
      <alignment horizontal="center"/>
      <protection locked="0"/>
    </xf>
    <xf numFmtId="0" fontId="0" fillId="42" borderId="60" xfId="0" applyFill="1" applyBorder="1" applyAlignment="1">
      <alignment/>
    </xf>
    <xf numFmtId="0" fontId="0" fillId="42" borderId="60" xfId="0" applyFill="1" applyBorder="1" applyAlignment="1">
      <alignment horizontal="right"/>
    </xf>
    <xf numFmtId="0" fontId="54" fillId="2" borderId="60" xfId="0" applyFont="1" applyFill="1" applyBorder="1" applyAlignment="1" applyProtection="1">
      <alignment horizontal="center"/>
      <protection locked="0"/>
    </xf>
    <xf numFmtId="0" fontId="0" fillId="42" borderId="61" xfId="0" applyFill="1" applyBorder="1" applyAlignment="1">
      <alignment/>
    </xf>
    <xf numFmtId="0" fontId="0" fillId="42" borderId="61" xfId="0" applyFill="1" applyBorder="1" applyAlignment="1">
      <alignment horizontal="right"/>
    </xf>
    <xf numFmtId="0" fontId="54" fillId="2" borderId="61" xfId="0" applyFont="1" applyFill="1" applyBorder="1" applyAlignment="1" applyProtection="1">
      <alignment horizontal="center"/>
      <protection locked="0"/>
    </xf>
    <xf numFmtId="170" fontId="0" fillId="34" borderId="40" xfId="46" applyFont="1" applyFill="1" applyBorder="1" applyAlignment="1">
      <alignment vertical="center"/>
    </xf>
    <xf numFmtId="0" fontId="0" fillId="34" borderId="40" xfId="0" applyFill="1" applyBorder="1" applyAlignment="1">
      <alignment horizontal="center" vertical="center"/>
    </xf>
    <xf numFmtId="20" fontId="0" fillId="0" borderId="62" xfId="0" applyNumberForma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166" fontId="5" fillId="36" borderId="40" xfId="46" applyNumberFormat="1" applyFont="1" applyFill="1" applyBorder="1" applyAlignment="1">
      <alignment horizontal="left" vertical="center"/>
    </xf>
    <xf numFmtId="166" fontId="5" fillId="36" borderId="63" xfId="46" applyNumberFormat="1" applyFont="1" applyFill="1" applyBorder="1" applyAlignment="1">
      <alignment horizontal="left" vertical="center"/>
    </xf>
    <xf numFmtId="166" fontId="1" fillId="34" borderId="40" xfId="46" applyNumberFormat="1" applyFont="1" applyFill="1" applyBorder="1" applyAlignment="1">
      <alignment horizontal="left" vertical="center"/>
    </xf>
    <xf numFmtId="166" fontId="1" fillId="34" borderId="63" xfId="46" applyNumberFormat="1" applyFont="1" applyFill="1" applyBorder="1" applyAlignment="1">
      <alignment horizontal="left" vertical="center"/>
    </xf>
    <xf numFmtId="0" fontId="0" fillId="34" borderId="6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right" vertical="top"/>
    </xf>
    <xf numFmtId="0" fontId="12" fillId="34" borderId="65" xfId="0" applyFont="1" applyFill="1" applyBorder="1" applyAlignment="1">
      <alignment horizontal="right" vertical="top"/>
    </xf>
    <xf numFmtId="0" fontId="0" fillId="34" borderId="58" xfId="0" applyFill="1" applyBorder="1" applyAlignment="1">
      <alignment horizontal="left" vertical="center"/>
    </xf>
    <xf numFmtId="0" fontId="0" fillId="34" borderId="66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166" fontId="7" fillId="37" borderId="72" xfId="0" applyNumberFormat="1" applyFont="1" applyFill="1" applyBorder="1" applyAlignment="1">
      <alignment horizontal="center" vertical="center"/>
    </xf>
    <xf numFmtId="166" fontId="7" fillId="37" borderId="73" xfId="0" applyNumberFormat="1" applyFont="1" applyFill="1" applyBorder="1" applyAlignment="1">
      <alignment horizontal="center" vertical="center"/>
    </xf>
    <xf numFmtId="166" fontId="1" fillId="34" borderId="56" xfId="46" applyNumberFormat="1" applyFont="1" applyFill="1" applyBorder="1" applyAlignment="1">
      <alignment horizontal="left" vertical="center"/>
    </xf>
    <xf numFmtId="166" fontId="1" fillId="34" borderId="74" xfId="46" applyNumberFormat="1" applyFont="1" applyFill="1" applyBorder="1" applyAlignment="1">
      <alignment horizontal="left" vertical="center"/>
    </xf>
    <xf numFmtId="175" fontId="0" fillId="2" borderId="50" xfId="0" applyNumberFormat="1" applyFill="1" applyBorder="1" applyAlignment="1" applyProtection="1">
      <alignment horizontal="center" vertical="center"/>
      <protection locked="0"/>
    </xf>
    <xf numFmtId="175" fontId="0" fillId="2" borderId="75" xfId="0" applyNumberFormat="1" applyFill="1" applyBorder="1" applyAlignment="1" applyProtection="1">
      <alignment horizontal="center" vertical="center"/>
      <protection locked="0"/>
    </xf>
    <xf numFmtId="166" fontId="1" fillId="2" borderId="50" xfId="46" applyNumberFormat="1" applyFont="1" applyFill="1" applyBorder="1" applyAlignment="1" applyProtection="1">
      <alignment horizontal="center" vertical="center"/>
      <protection locked="0"/>
    </xf>
    <xf numFmtId="166" fontId="1" fillId="2" borderId="75" xfId="46" applyNumberFormat="1" applyFont="1" applyFill="1" applyBorder="1" applyAlignment="1" applyProtection="1">
      <alignment horizontal="center" vertical="center"/>
      <protection locked="0"/>
    </xf>
    <xf numFmtId="0" fontId="0" fillId="34" borderId="49" xfId="0" applyFill="1" applyBorder="1" applyAlignment="1">
      <alignment horizontal="left" vertical="center"/>
    </xf>
    <xf numFmtId="0" fontId="0" fillId="34" borderId="50" xfId="0" applyFill="1" applyBorder="1" applyAlignment="1">
      <alignment horizontal="left" vertical="center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0" fillId="2" borderId="75" xfId="0" applyFill="1" applyBorder="1" applyAlignment="1" applyProtection="1">
      <alignment horizontal="left"/>
      <protection locked="0"/>
    </xf>
    <xf numFmtId="0" fontId="0" fillId="2" borderId="75" xfId="0" applyFill="1" applyBorder="1" applyAlignment="1" applyProtection="1">
      <alignment horizontal="left" vertical="center"/>
      <protection locked="0"/>
    </xf>
    <xf numFmtId="166" fontId="5" fillId="36" borderId="45" xfId="46" applyNumberFormat="1" applyFont="1" applyFill="1" applyBorder="1" applyAlignment="1">
      <alignment horizontal="left" vertical="center"/>
    </xf>
    <xf numFmtId="166" fontId="5" fillId="36" borderId="76" xfId="46" applyNumberFormat="1" applyFont="1" applyFill="1" applyBorder="1" applyAlignment="1">
      <alignment horizontal="left" vertical="center"/>
    </xf>
    <xf numFmtId="0" fontId="0" fillId="34" borderId="77" xfId="0" applyFill="1" applyBorder="1" applyAlignment="1">
      <alignment horizontal="left" vertical="center"/>
    </xf>
    <xf numFmtId="0" fontId="0" fillId="34" borderId="56" xfId="0" applyFill="1" applyBorder="1" applyAlignment="1">
      <alignment horizontal="left" vertical="center"/>
    </xf>
    <xf numFmtId="0" fontId="0" fillId="34" borderId="78" xfId="0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0" fontId="0" fillId="36" borderId="79" xfId="0" applyFill="1" applyBorder="1" applyAlignment="1">
      <alignment horizontal="right" vertical="center"/>
    </xf>
    <xf numFmtId="0" fontId="0" fillId="36" borderId="43" xfId="0" applyFill="1" applyBorder="1" applyAlignment="1">
      <alignment horizontal="right" vertical="center"/>
    </xf>
    <xf numFmtId="0" fontId="0" fillId="36" borderId="80" xfId="0" applyFill="1" applyBorder="1" applyAlignment="1">
      <alignment horizontal="right" vertical="center"/>
    </xf>
    <xf numFmtId="0" fontId="38" fillId="34" borderId="78" xfId="0" applyFont="1" applyFill="1" applyBorder="1" applyAlignment="1">
      <alignment horizontal="left" vertical="center"/>
    </xf>
    <xf numFmtId="0" fontId="38" fillId="34" borderId="40" xfId="0" applyFont="1" applyFill="1" applyBorder="1" applyAlignment="1">
      <alignment horizontal="left" vertical="center"/>
    </xf>
    <xf numFmtId="0" fontId="5" fillId="36" borderId="81" xfId="0" applyFont="1" applyFill="1" applyBorder="1" applyAlignment="1">
      <alignment horizontal="right" vertical="center"/>
    </xf>
    <xf numFmtId="0" fontId="5" fillId="36" borderId="82" xfId="0" applyFont="1" applyFill="1" applyBorder="1" applyAlignment="1">
      <alignment horizontal="right" vertical="center"/>
    </xf>
    <xf numFmtId="0" fontId="5" fillId="36" borderId="83" xfId="0" applyFont="1" applyFill="1" applyBorder="1" applyAlignment="1">
      <alignment horizontal="right" vertical="center"/>
    </xf>
    <xf numFmtId="0" fontId="7" fillId="2" borderId="61" xfId="0" applyFont="1" applyFill="1" applyBorder="1" applyAlignment="1" applyProtection="1">
      <alignment horizontal="left" vertical="center"/>
      <protection locked="0"/>
    </xf>
    <xf numFmtId="0" fontId="0" fillId="42" borderId="59" xfId="0" applyFill="1" applyBorder="1" applyAlignment="1">
      <alignment horizontal="right" vertical="center"/>
    </xf>
    <xf numFmtId="0" fontId="0" fillId="42" borderId="60" xfId="0" applyFill="1" applyBorder="1" applyAlignment="1">
      <alignment horizontal="right" vertical="center"/>
    </xf>
    <xf numFmtId="0" fontId="0" fillId="42" borderId="61" xfId="0" applyFill="1" applyBorder="1" applyAlignment="1">
      <alignment horizontal="right" vertical="center"/>
    </xf>
    <xf numFmtId="0" fontId="7" fillId="2" borderId="59" xfId="0" applyFont="1" applyFill="1" applyBorder="1" applyAlignment="1" applyProtection="1">
      <alignment horizontal="left" vertical="center"/>
      <protection locked="0"/>
    </xf>
    <xf numFmtId="0" fontId="7" fillId="2" borderId="60" xfId="0" applyFont="1" applyFill="1" applyBorder="1" applyAlignment="1" applyProtection="1">
      <alignment horizontal="left" vertical="center"/>
      <protection locked="0"/>
    </xf>
    <xf numFmtId="0" fontId="54" fillId="43" borderId="0" xfId="0" applyFont="1" applyFill="1" applyAlignment="1">
      <alignment horizontal="center"/>
    </xf>
    <xf numFmtId="0" fontId="0" fillId="43" borderId="0" xfId="0" applyFill="1" applyAlignment="1">
      <alignment horizontal="center"/>
    </xf>
    <xf numFmtId="0" fontId="13" fillId="34" borderId="0" xfId="0" applyFont="1" applyFill="1" applyAlignment="1">
      <alignment horizontal="center" vertical="top"/>
    </xf>
    <xf numFmtId="0" fontId="7" fillId="2" borderId="60" xfId="0" applyFont="1" applyFill="1" applyBorder="1" applyAlignment="1" applyProtection="1">
      <alignment horizontal="left" vertical="center"/>
      <protection locked="0"/>
    </xf>
    <xf numFmtId="0" fontId="0" fillId="42" borderId="59" xfId="0" applyFill="1" applyBorder="1" applyAlignment="1">
      <alignment horizontal="right"/>
    </xf>
    <xf numFmtId="0" fontId="0" fillId="42" borderId="60" xfId="0" applyFill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5">
    <dxf>
      <font>
        <color theme="1"/>
      </font>
    </dxf>
    <dxf>
      <font>
        <color indexed="8"/>
      </font>
      <fill>
        <patternFill patternType="solid">
          <bgColor indexed="10"/>
        </patternFill>
      </fill>
    </dxf>
    <dxf>
      <fill>
        <patternFill>
          <bgColor rgb="FFFF0000"/>
        </patternFill>
      </fill>
    </dxf>
    <dxf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</dxf>
    <dxf/>
    <dxf>
      <font>
        <color theme="1"/>
      </font>
      <fill>
        <patternFill patternType="solid">
          <bgColor rgb="FFFF0000"/>
        </patternFill>
      </fill>
    </dxf>
    <dxf>
      <font>
        <color theme="1"/>
      </font>
      <fill>
        <patternFill patternType="solid">
          <bgColor rgb="FFFF0000"/>
        </patternFill>
      </fill>
      <border/>
    </dxf>
    <dxf>
      <font>
        <color theme="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0000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on!A1" /><Relationship Id="rId2" Type="http://schemas.openxmlformats.org/officeDocument/2006/relationships/hyperlink" Target="#Configura&#231;&#227;o!E8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Lan&#231;amento!G6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Lan&#231;amento!G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581025</xdr:colOff>
      <xdr:row>4</xdr:row>
      <xdr:rowOff>85725</xdr:rowOff>
    </xdr:from>
    <xdr:to>
      <xdr:col>23</xdr:col>
      <xdr:colOff>857250</xdr:colOff>
      <xdr:row>6</xdr:row>
      <xdr:rowOff>152400</xdr:rowOff>
    </xdr:to>
    <xdr:sp macro="[0]!limpar"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7981950" y="971550"/>
          <a:ext cx="1314450" cy="3429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Limpar dados</a:t>
          </a:r>
        </a:p>
      </xdr:txBody>
    </xdr:sp>
    <xdr:clientData fPrintsWithSheet="0"/>
  </xdr:twoCellAnchor>
  <xdr:twoCellAnchor>
    <xdr:from>
      <xdr:col>22</xdr:col>
      <xdr:colOff>571500</xdr:colOff>
      <xdr:row>7</xdr:row>
      <xdr:rowOff>38100</xdr:rowOff>
    </xdr:from>
    <xdr:to>
      <xdr:col>23</xdr:col>
      <xdr:colOff>847725</xdr:colOff>
      <xdr:row>9</xdr:row>
      <xdr:rowOff>104775</xdr:rowOff>
    </xdr:to>
    <xdr:sp macro="[0]!limpar">
      <xdr:nvSpPr>
        <xdr:cNvPr id="2" name="Retângulo de cantos arredondados 3">
          <a:hlinkClick r:id="rId2"/>
        </xdr:cNvPr>
        <xdr:cNvSpPr>
          <a:spLocks/>
        </xdr:cNvSpPr>
      </xdr:nvSpPr>
      <xdr:spPr>
        <a:xfrm>
          <a:off x="7972425" y="1390650"/>
          <a:ext cx="1314450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Configuração</a:t>
          </a:r>
        </a:p>
      </xdr:txBody>
    </xdr:sp>
    <xdr:clientData fPrintsWithSheet="0"/>
  </xdr:twoCellAnchor>
  <xdr:twoCellAnchor editAs="oneCell">
    <xdr:from>
      <xdr:col>23</xdr:col>
      <xdr:colOff>104775</xdr:colOff>
      <xdr:row>0</xdr:row>
      <xdr:rowOff>133350</xdr:rowOff>
    </xdr:from>
    <xdr:to>
      <xdr:col>23</xdr:col>
      <xdr:colOff>800100</xdr:colOff>
      <xdr:row>3</xdr:row>
      <xdr:rowOff>152400</xdr:rowOff>
    </xdr:to>
    <xdr:pic>
      <xdr:nvPicPr>
        <xdr:cNvPr id="3" name="Imagem 4" descr="fecomerciariosredondocurva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43925" y="13335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19</xdr:row>
      <xdr:rowOff>0</xdr:rowOff>
    </xdr:from>
    <xdr:to>
      <xdr:col>5</xdr:col>
      <xdr:colOff>276225</xdr:colOff>
      <xdr:row>19</xdr:row>
      <xdr:rowOff>438150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1885950" y="3648075"/>
          <a:ext cx="1733550" cy="4381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OK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104775</xdr:rowOff>
    </xdr:from>
    <xdr:to>
      <xdr:col>5</xdr:col>
      <xdr:colOff>104775</xdr:colOff>
      <xdr:row>4</xdr:row>
      <xdr:rowOff>95250</xdr:rowOff>
    </xdr:to>
    <xdr:pic>
      <xdr:nvPicPr>
        <xdr:cNvPr id="2" name="Imagem 3" descr="logo FecomerciariosOKcurv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4775"/>
          <a:ext cx="3343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10</xdr:row>
      <xdr:rowOff>180975</xdr:rowOff>
    </xdr:from>
    <xdr:to>
      <xdr:col>7</xdr:col>
      <xdr:colOff>228600</xdr:colOff>
      <xdr:row>13</xdr:row>
      <xdr:rowOff>47625</xdr:rowOff>
    </xdr:to>
    <xdr:sp>
      <xdr:nvSpPr>
        <xdr:cNvPr id="1" name="Retângulo de cantos arredondados 1">
          <a:hlinkClick r:id="rId1"/>
        </xdr:cNvPr>
        <xdr:cNvSpPr>
          <a:spLocks/>
        </xdr:cNvSpPr>
      </xdr:nvSpPr>
      <xdr:spPr>
        <a:xfrm>
          <a:off x="2971800" y="1990725"/>
          <a:ext cx="1524000" cy="4381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Desistir</a:t>
          </a:r>
        </a:p>
      </xdr:txBody>
    </xdr:sp>
    <xdr:clientData/>
  </xdr:twoCellAnchor>
  <xdr:twoCellAnchor>
    <xdr:from>
      <xdr:col>1</xdr:col>
      <xdr:colOff>571500</xdr:colOff>
      <xdr:row>10</xdr:row>
      <xdr:rowOff>180975</xdr:rowOff>
    </xdr:from>
    <xdr:to>
      <xdr:col>4</xdr:col>
      <xdr:colOff>266700</xdr:colOff>
      <xdr:row>13</xdr:row>
      <xdr:rowOff>47625</xdr:rowOff>
    </xdr:to>
    <xdr:sp macro="[0]!limpar">
      <xdr:nvSpPr>
        <xdr:cNvPr id="2" name="Retângulo de cantos arredondados 2"/>
        <xdr:cNvSpPr>
          <a:spLocks/>
        </xdr:cNvSpPr>
      </xdr:nvSpPr>
      <xdr:spPr>
        <a:xfrm>
          <a:off x="1181100" y="1990725"/>
          <a:ext cx="1524000" cy="4381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Confirmar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87"/>
  <sheetViews>
    <sheetView showGridLines="0" showRowColHeaders="0" tabSelected="1" zoomScale="85" zoomScaleNormal="85" zoomScalePageLayoutView="0" workbookViewId="0" topLeftCell="A1">
      <pane ySplit="16" topLeftCell="A17" activePane="bottomLeft" state="frozen"/>
      <selection pane="topLeft" activeCell="A1" sqref="A1"/>
      <selection pane="bottomLeft" activeCell="G6" sqref="G6:N6"/>
    </sheetView>
  </sheetViews>
  <sheetFormatPr defaultColWidth="0" defaultRowHeight="15" zeroHeight="1"/>
  <cols>
    <col min="1" max="1" width="2.7109375" style="65" customWidth="1"/>
    <col min="2" max="2" width="10.7109375" style="65" hidden="1" customWidth="1"/>
    <col min="3" max="3" width="11.7109375" style="65" customWidth="1"/>
    <col min="4" max="5" width="10.7109375" style="65" hidden="1" customWidth="1"/>
    <col min="6" max="6" width="6.140625" style="65" customWidth="1"/>
    <col min="7" max="7" width="18.28125" style="65" customWidth="1"/>
    <col min="8" max="8" width="13.57421875" style="66" hidden="1" customWidth="1"/>
    <col min="9" max="11" width="10.140625" style="65" customWidth="1"/>
    <col min="12" max="12" width="11.7109375" style="65" customWidth="1"/>
    <col min="13" max="13" width="16.8515625" style="65" hidden="1" customWidth="1"/>
    <col min="14" max="15" width="15.00390625" style="73" customWidth="1"/>
    <col min="16" max="16" width="16.140625" style="65" hidden="1" customWidth="1"/>
    <col min="17" max="17" width="18.7109375" style="65" hidden="1" customWidth="1"/>
    <col min="18" max="18" width="13.8515625" style="65" hidden="1" customWidth="1"/>
    <col min="19" max="19" width="15.421875" style="65" hidden="1" customWidth="1"/>
    <col min="20" max="21" width="13.8515625" style="65" hidden="1" customWidth="1"/>
    <col min="22" max="22" width="13.8515625" style="74" hidden="1" customWidth="1"/>
    <col min="23" max="23" width="15.57421875" style="73" customWidth="1"/>
    <col min="24" max="24" width="13.7109375" style="73" customWidth="1"/>
    <col min="25" max="25" width="13.7109375" style="73" hidden="1" customWidth="1"/>
    <col min="26" max="26" width="21.8515625" style="65" hidden="1" customWidth="1"/>
    <col min="27" max="27" width="16.7109375" style="65" hidden="1" customWidth="1"/>
    <col min="28" max="28" width="16.00390625" style="65" hidden="1" customWidth="1"/>
    <col min="29" max="29" width="12.140625" style="65" hidden="1" customWidth="1"/>
    <col min="30" max="36" width="9.140625" style="65" hidden="1" customWidth="1"/>
    <col min="37" max="37" width="32.140625" style="124" customWidth="1"/>
    <col min="38" max="38" width="1.421875" style="65" customWidth="1"/>
    <col min="39" max="255" width="9.140625" style="65" hidden="1" customWidth="1"/>
    <col min="256" max="16384" width="0" style="65" hidden="1" customWidth="1"/>
  </cols>
  <sheetData>
    <row r="1" spans="1:38" s="1" customFormat="1" ht="28.5">
      <c r="A1" s="65"/>
      <c r="C1" s="182" t="str">
        <f>Configuração!D14</f>
        <v>Sincomerciários</v>
      </c>
      <c r="D1" s="65"/>
      <c r="E1" s="65"/>
      <c r="F1" s="65"/>
      <c r="G1" s="65"/>
      <c r="H1" s="66"/>
      <c r="I1" s="65"/>
      <c r="J1" s="65"/>
      <c r="K1" s="65"/>
      <c r="L1" s="65"/>
      <c r="M1" s="65"/>
      <c r="N1" s="73"/>
      <c r="O1" s="73"/>
      <c r="P1" s="65"/>
      <c r="Q1" s="65"/>
      <c r="R1" s="65"/>
      <c r="S1" s="65"/>
      <c r="T1" s="65"/>
      <c r="U1" s="65"/>
      <c r="V1" s="74"/>
      <c r="W1" s="3"/>
      <c r="X1" s="183" t="s">
        <v>91</v>
      </c>
      <c r="Y1" s="120"/>
      <c r="AK1" s="124"/>
      <c r="AL1" s="65"/>
    </row>
    <row r="2" spans="1:38" s="1" customFormat="1" ht="6.75" customHeight="1">
      <c r="A2" s="65"/>
      <c r="C2" s="65"/>
      <c r="D2" s="65"/>
      <c r="E2" s="65"/>
      <c r="F2" s="65"/>
      <c r="G2" s="65"/>
      <c r="H2" s="66"/>
      <c r="I2" s="65"/>
      <c r="J2" s="65"/>
      <c r="K2" s="65"/>
      <c r="L2" s="65"/>
      <c r="M2" s="65"/>
      <c r="N2" s="73"/>
      <c r="O2" s="73"/>
      <c r="P2" s="65"/>
      <c r="Q2" s="65"/>
      <c r="R2" s="65"/>
      <c r="S2" s="65"/>
      <c r="T2" s="65"/>
      <c r="U2" s="65"/>
      <c r="V2" s="74"/>
      <c r="W2" s="73"/>
      <c r="X2" s="73"/>
      <c r="Y2" s="73"/>
      <c r="AK2" s="124"/>
      <c r="AL2" s="65"/>
    </row>
    <row r="3" spans="1:38" s="1" customFormat="1" ht="18.75" customHeight="1">
      <c r="A3" s="65"/>
      <c r="C3" s="65" t="str">
        <f>Configuração!D15</f>
        <v>Sindicato dos Empregados no Comércio de Matão e Taquaritinga</v>
      </c>
      <c r="D3" s="65"/>
      <c r="E3" s="65"/>
      <c r="F3" s="65"/>
      <c r="G3" s="65"/>
      <c r="H3" s="66"/>
      <c r="I3" s="65"/>
      <c r="J3" s="65"/>
      <c r="K3" s="65"/>
      <c r="L3" s="65"/>
      <c r="M3" s="65"/>
      <c r="N3" s="73"/>
      <c r="O3" s="73"/>
      <c r="P3" s="65"/>
      <c r="Q3" s="65"/>
      <c r="R3" s="65"/>
      <c r="S3" s="65"/>
      <c r="T3" s="65"/>
      <c r="U3" s="65"/>
      <c r="V3" s="74"/>
      <c r="W3" s="3"/>
      <c r="X3" s="119"/>
      <c r="Y3" s="119"/>
      <c r="AK3" s="124"/>
      <c r="AL3" s="65"/>
    </row>
    <row r="4" spans="1:38" s="1" customFormat="1" ht="15.75" customHeight="1" thickBot="1">
      <c r="A4" s="65"/>
      <c r="C4" s="114"/>
      <c r="D4" s="114"/>
      <c r="E4" s="114"/>
      <c r="F4" s="114"/>
      <c r="G4" s="114"/>
      <c r="H4" s="115"/>
      <c r="I4" s="114"/>
      <c r="J4" s="114"/>
      <c r="K4" s="114"/>
      <c r="L4" s="114"/>
      <c r="M4" s="114"/>
      <c r="N4" s="116"/>
      <c r="O4" s="116"/>
      <c r="P4" s="114"/>
      <c r="Q4" s="114"/>
      <c r="R4" s="114"/>
      <c r="S4" s="114"/>
      <c r="T4" s="114"/>
      <c r="U4" s="114"/>
      <c r="V4" s="117"/>
      <c r="W4" s="116"/>
      <c r="X4" s="116"/>
      <c r="Y4" s="73"/>
      <c r="AK4" s="124"/>
      <c r="AL4" s="65"/>
    </row>
    <row r="5" spans="1:38" s="1" customFormat="1" ht="6.75" customHeight="1" thickTop="1">
      <c r="A5" s="65"/>
      <c r="C5" s="65"/>
      <c r="D5" s="65"/>
      <c r="E5" s="65"/>
      <c r="F5" s="65"/>
      <c r="G5" s="65"/>
      <c r="H5" s="66"/>
      <c r="I5" s="65"/>
      <c r="J5" s="65"/>
      <c r="K5" s="65"/>
      <c r="L5" s="65"/>
      <c r="M5" s="65"/>
      <c r="N5" s="73"/>
      <c r="O5" s="73"/>
      <c r="P5" s="65"/>
      <c r="Q5" s="65"/>
      <c r="R5" s="65"/>
      <c r="S5" s="65"/>
      <c r="T5" s="65"/>
      <c r="U5" s="65"/>
      <c r="V5" s="74"/>
      <c r="W5" s="73"/>
      <c r="X5" s="73"/>
      <c r="Y5" s="73"/>
      <c r="AK5" s="124"/>
      <c r="AL5" s="65"/>
    </row>
    <row r="6" spans="1:38" s="1" customFormat="1" ht="15">
      <c r="A6" s="65"/>
      <c r="C6" s="229" t="s">
        <v>6</v>
      </c>
      <c r="D6" s="230"/>
      <c r="E6" s="230"/>
      <c r="F6" s="230"/>
      <c r="G6" s="231"/>
      <c r="H6" s="232"/>
      <c r="I6" s="232"/>
      <c r="J6" s="232"/>
      <c r="K6" s="232"/>
      <c r="L6" s="232"/>
      <c r="M6" s="232"/>
      <c r="N6" s="233"/>
      <c r="O6" s="73"/>
      <c r="P6" s="65"/>
      <c r="Q6" s="65"/>
      <c r="R6" s="65"/>
      <c r="S6" s="65"/>
      <c r="T6" s="65"/>
      <c r="U6" s="65"/>
      <c r="V6" s="74"/>
      <c r="W6" s="73"/>
      <c r="X6" s="73"/>
      <c r="Y6" s="73"/>
      <c r="AK6" s="124"/>
      <c r="AL6" s="65"/>
    </row>
    <row r="7" spans="1:38" s="1" customFormat="1" ht="15">
      <c r="A7" s="65"/>
      <c r="C7" s="229" t="s">
        <v>7</v>
      </c>
      <c r="D7" s="230"/>
      <c r="E7" s="230"/>
      <c r="F7" s="230"/>
      <c r="G7" s="231"/>
      <c r="H7" s="231"/>
      <c r="I7" s="231"/>
      <c r="J7" s="231"/>
      <c r="K7" s="231"/>
      <c r="L7" s="231"/>
      <c r="M7" s="231"/>
      <c r="N7" s="234"/>
      <c r="O7" s="73"/>
      <c r="P7" s="65"/>
      <c r="Q7" s="65"/>
      <c r="R7" s="65"/>
      <c r="S7" s="65"/>
      <c r="T7" s="65"/>
      <c r="U7" s="65"/>
      <c r="V7" s="74"/>
      <c r="W7" s="73"/>
      <c r="X7" s="73"/>
      <c r="Y7" s="73"/>
      <c r="AK7" s="124"/>
      <c r="AL7" s="65"/>
    </row>
    <row r="8" spans="1:38" s="1" customFormat="1" ht="7.5" customHeight="1">
      <c r="A8" s="65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73"/>
      <c r="Y8" s="73"/>
      <c r="AK8" s="124"/>
      <c r="AL8" s="65"/>
    </row>
    <row r="9" spans="1:38" s="1" customFormat="1" ht="15">
      <c r="A9" s="65"/>
      <c r="C9" s="110" t="s">
        <v>8</v>
      </c>
      <c r="D9" s="111"/>
      <c r="E9" s="111"/>
      <c r="F9" s="225"/>
      <c r="G9" s="226"/>
      <c r="H9" s="66"/>
      <c r="I9" s="211"/>
      <c r="J9" s="184">
        <v>0.3333333333333333</v>
      </c>
      <c r="K9" s="214" t="s">
        <v>9</v>
      </c>
      <c r="L9" s="214"/>
      <c r="M9" s="214"/>
      <c r="N9" s="214"/>
      <c r="O9" s="214"/>
      <c r="P9" s="65"/>
      <c r="Q9" s="65"/>
      <c r="R9" s="65"/>
      <c r="S9" s="65"/>
      <c r="T9" s="65"/>
      <c r="U9" s="65"/>
      <c r="V9" s="74"/>
      <c r="W9" s="154" t="s">
        <v>76</v>
      </c>
      <c r="X9" s="73"/>
      <c r="Y9" s="73"/>
      <c r="AK9" s="124"/>
      <c r="AL9" s="65"/>
    </row>
    <row r="10" spans="1:38" s="1" customFormat="1" ht="15">
      <c r="A10" s="65"/>
      <c r="C10" s="212" t="s">
        <v>81</v>
      </c>
      <c r="D10" s="212"/>
      <c r="E10" s="212"/>
      <c r="F10" s="212"/>
      <c r="G10" s="212"/>
      <c r="H10" s="66"/>
      <c r="I10" s="211"/>
      <c r="J10" s="184">
        <v>0.16666666666666666</v>
      </c>
      <c r="K10" s="214" t="s">
        <v>10</v>
      </c>
      <c r="L10" s="214"/>
      <c r="M10" s="214"/>
      <c r="N10" s="214"/>
      <c r="O10" s="214"/>
      <c r="P10" s="65"/>
      <c r="Q10" s="65"/>
      <c r="R10" s="65"/>
      <c r="S10" s="65"/>
      <c r="T10" s="65"/>
      <c r="U10" s="65"/>
      <c r="V10" s="74"/>
      <c r="W10" s="154" t="s">
        <v>77</v>
      </c>
      <c r="X10" s="73"/>
      <c r="Y10" s="73"/>
      <c r="AK10" s="124"/>
      <c r="AL10" s="65"/>
    </row>
    <row r="11" spans="1:38" s="1" customFormat="1" ht="15">
      <c r="A11" s="65"/>
      <c r="C11" s="110" t="s">
        <v>13</v>
      </c>
      <c r="D11" s="111"/>
      <c r="E11" s="111"/>
      <c r="F11" s="227"/>
      <c r="G11" s="228"/>
      <c r="H11" s="66"/>
      <c r="I11" s="211"/>
      <c r="J11" s="184">
        <v>0</v>
      </c>
      <c r="K11" s="214" t="s">
        <v>11</v>
      </c>
      <c r="L11" s="214"/>
      <c r="M11" s="214"/>
      <c r="N11" s="214"/>
      <c r="O11" s="214"/>
      <c r="P11" s="65"/>
      <c r="Q11" s="65"/>
      <c r="R11" s="65"/>
      <c r="S11" s="65"/>
      <c r="T11" s="65"/>
      <c r="U11" s="65"/>
      <c r="V11" s="74"/>
      <c r="W11" s="154" t="s">
        <v>78</v>
      </c>
      <c r="X11" s="73"/>
      <c r="Y11" s="73"/>
      <c r="AK11" s="124"/>
      <c r="AL11" s="65"/>
    </row>
    <row r="12" spans="1:38" s="1" customFormat="1" ht="15">
      <c r="A12" s="65"/>
      <c r="C12" s="213" t="s">
        <v>75</v>
      </c>
      <c r="D12" s="213"/>
      <c r="E12" s="213"/>
      <c r="F12" s="213"/>
      <c r="G12" s="213"/>
      <c r="H12" s="66"/>
      <c r="I12" s="211"/>
      <c r="J12" s="78">
        <f>(J9*5)+J10+J11</f>
        <v>1.8333333333333333</v>
      </c>
      <c r="K12" s="204" t="s">
        <v>74</v>
      </c>
      <c r="L12" s="204"/>
      <c r="M12" s="204"/>
      <c r="N12" s="204"/>
      <c r="O12" s="204"/>
      <c r="P12" s="65"/>
      <c r="Q12" s="65"/>
      <c r="R12" s="65"/>
      <c r="S12" s="65"/>
      <c r="T12" s="65"/>
      <c r="U12" s="65"/>
      <c r="V12" s="74"/>
      <c r="W12" s="73"/>
      <c r="X12" s="73"/>
      <c r="Y12" s="73"/>
      <c r="AK12" s="124"/>
      <c r="AL12" s="65"/>
    </row>
    <row r="13" spans="1:38" s="1" customFormat="1" ht="15">
      <c r="A13" s="65"/>
      <c r="C13" s="211"/>
      <c r="D13" s="211"/>
      <c r="E13" s="211"/>
      <c r="F13" s="211"/>
      <c r="G13" s="211"/>
      <c r="H13" s="211"/>
      <c r="I13" s="211"/>
      <c r="J13" s="156">
        <f>J12*30/6</f>
        <v>9.166666666666666</v>
      </c>
      <c r="K13" s="205" t="s">
        <v>73</v>
      </c>
      <c r="L13" s="205"/>
      <c r="M13" s="205"/>
      <c r="N13" s="205"/>
      <c r="O13" s="205"/>
      <c r="P13" s="65"/>
      <c r="Q13" s="65"/>
      <c r="R13" s="65"/>
      <c r="S13" s="65"/>
      <c r="T13" s="65"/>
      <c r="U13" s="65"/>
      <c r="V13" s="74"/>
      <c r="W13" s="73"/>
      <c r="X13" s="73"/>
      <c r="Y13" s="73"/>
      <c r="AK13" s="124"/>
      <c r="AL13" s="65"/>
    </row>
    <row r="14" spans="1:38" s="1" customFormat="1" ht="15" hidden="1">
      <c r="A14" s="65"/>
      <c r="C14" s="65"/>
      <c r="D14" s="65"/>
      <c r="E14" s="65"/>
      <c r="F14" s="65"/>
      <c r="G14" s="65"/>
      <c r="H14" s="66"/>
      <c r="I14" s="65"/>
      <c r="J14" s="65"/>
      <c r="K14" s="65"/>
      <c r="L14" s="65"/>
      <c r="M14" s="65"/>
      <c r="N14" s="73"/>
      <c r="O14" s="73"/>
      <c r="P14" s="65"/>
      <c r="Q14" s="65"/>
      <c r="R14" s="65"/>
      <c r="S14" s="65"/>
      <c r="T14" s="65"/>
      <c r="U14" s="65"/>
      <c r="V14" s="74"/>
      <c r="W14" s="73"/>
      <c r="X14" s="112"/>
      <c r="Y14" s="112"/>
      <c r="AK14" s="124"/>
      <c r="AL14" s="65"/>
    </row>
    <row r="15" spans="1:38" s="1" customFormat="1" ht="15.75" thickBot="1">
      <c r="A15" s="65"/>
      <c r="C15" s="210"/>
      <c r="D15" s="210"/>
      <c r="E15" s="210"/>
      <c r="F15" s="210"/>
      <c r="G15" s="210"/>
      <c r="H15" s="210"/>
      <c r="I15" s="210"/>
      <c r="J15" s="210">
        <f>IF(J12&gt;1.83333334,"Atenção, jornada semanal acima de 44 horas","")</f>
      </c>
      <c r="K15" s="210"/>
      <c r="L15" s="210"/>
      <c r="M15" s="210"/>
      <c r="N15" s="210"/>
      <c r="O15" s="210"/>
      <c r="P15" s="65"/>
      <c r="Q15" s="65"/>
      <c r="R15" s="65"/>
      <c r="S15" s="65"/>
      <c r="T15" s="113">
        <v>0.4583333333333333</v>
      </c>
      <c r="U15" s="65"/>
      <c r="V15" s="74"/>
      <c r="W15" s="73"/>
      <c r="X15" s="73"/>
      <c r="Y15" s="73"/>
      <c r="AK15" s="124"/>
      <c r="AL15" s="65"/>
    </row>
    <row r="16" spans="1:38" s="1" customFormat="1" ht="20.25" customHeight="1" thickBot="1" thickTop="1">
      <c r="A16" s="65"/>
      <c r="B16" s="4" t="s">
        <v>0</v>
      </c>
      <c r="C16" s="7" t="s">
        <v>0</v>
      </c>
      <c r="D16" s="8" t="s">
        <v>21</v>
      </c>
      <c r="E16" s="8" t="s">
        <v>37</v>
      </c>
      <c r="F16" s="9" t="s">
        <v>38</v>
      </c>
      <c r="G16" s="10" t="s">
        <v>39</v>
      </c>
      <c r="H16" s="11" t="s">
        <v>1</v>
      </c>
      <c r="I16" s="7" t="s">
        <v>2</v>
      </c>
      <c r="J16" s="12" t="s">
        <v>3</v>
      </c>
      <c r="K16" s="10" t="s">
        <v>2</v>
      </c>
      <c r="L16" s="13" t="s">
        <v>3</v>
      </c>
      <c r="M16" s="51" t="s">
        <v>42</v>
      </c>
      <c r="N16" s="58" t="s">
        <v>63</v>
      </c>
      <c r="O16" s="15" t="s">
        <v>66</v>
      </c>
      <c r="P16" s="54" t="s">
        <v>45</v>
      </c>
      <c r="Q16" s="14" t="s">
        <v>46</v>
      </c>
      <c r="R16" s="14" t="s">
        <v>50</v>
      </c>
      <c r="S16" s="14" t="s">
        <v>49</v>
      </c>
      <c r="T16" s="14" t="s">
        <v>47</v>
      </c>
      <c r="U16" s="14" t="s">
        <v>48</v>
      </c>
      <c r="V16" s="42" t="s">
        <v>44</v>
      </c>
      <c r="W16" s="46" t="s">
        <v>64</v>
      </c>
      <c r="X16" s="15" t="s">
        <v>53</v>
      </c>
      <c r="Y16" s="178" t="s">
        <v>89</v>
      </c>
      <c r="Z16" s="4" t="s">
        <v>20</v>
      </c>
      <c r="AA16" s="4" t="s">
        <v>27</v>
      </c>
      <c r="AB16" s="4" t="s">
        <v>28</v>
      </c>
      <c r="AK16" s="124"/>
      <c r="AL16" s="65"/>
    </row>
    <row r="17" spans="1:44" s="1" customFormat="1" ht="17.25" customHeight="1">
      <c r="A17" s="65"/>
      <c r="B17" s="16">
        <f>F9</f>
        <v>0</v>
      </c>
      <c r="C17" s="17">
        <f>B17</f>
        <v>0</v>
      </c>
      <c r="D17" s="18">
        <v>1</v>
      </c>
      <c r="E17" s="19">
        <f>WEEKDAY(C17)</f>
        <v>7</v>
      </c>
      <c r="F17" s="153" t="str">
        <f>TEXT(C17,"ddd")</f>
        <v>sáb</v>
      </c>
      <c r="G17" s="126"/>
      <c r="H17" s="127">
        <f>VLOOKUP(E17,AF$18:AG$25,2,FALSE)</f>
        <v>0.16666666666666666</v>
      </c>
      <c r="I17" s="128"/>
      <c r="J17" s="129"/>
      <c r="K17" s="130"/>
      <c r="L17" s="131"/>
      <c r="M17" s="52">
        <f>IF(G17="Comp mês anterior",H17,IF(G17="Atestado",H17,(J17-I17)+(L17-K17)))</f>
        <v>0</v>
      </c>
      <c r="N17" s="59">
        <f>IF(G17="Feriado",M17,IF(M17&gt;H17,M17-H17,""))</f>
      </c>
      <c r="O17" s="60">
        <f>IF(G17="Feriado","",IF(M17&gt;0,IF(M17&lt;VLOOKUP(E17,AF$18:AG$25,2,FALSE),VLOOKUP(E17,AF$18:AG$25,2,FALSE)-M17,""),""))</f>
      </c>
      <c r="P17" s="55"/>
      <c r="Q17" s="39"/>
      <c r="R17" s="39"/>
      <c r="S17" s="39"/>
      <c r="T17" s="39"/>
      <c r="U17" s="39"/>
      <c r="V17" s="43"/>
      <c r="W17" s="47">
        <f>IF(V17&gt;0,IF(AG$28&gt;V17,AG$28-V17,""),"")</f>
      </c>
      <c r="X17" s="48">
        <f>IF(G17="Comp mês anterior","",IF(G17="Atestado","",IF(M17&gt;0.25,IF(K17&lt;=0,0.041667,IF(J17&gt;0,IF(K17-J17&gt;0.041667,"",0.041667-(K17-J17)),0.041667)),"")))</f>
      </c>
      <c r="Y17" s="181">
        <f>IF(F17="dom",IF(G17="Feriado",1,0),0)</f>
        <v>0</v>
      </c>
      <c r="Z17" s="20" t="s">
        <v>22</v>
      </c>
      <c r="AA17" s="21">
        <f>SUMPRODUCT((D$17:D$47=1)*(G$17:G$47="Falta"))</f>
        <v>0</v>
      </c>
      <c r="AB17" s="4">
        <f aca="true" t="shared" si="0" ref="AB17:AB22">IF(AA17&gt;=1,1+AA24,0)</f>
        <v>0</v>
      </c>
      <c r="AF17" s="2" t="s">
        <v>41</v>
      </c>
      <c r="AG17" s="2" t="s">
        <v>40</v>
      </c>
      <c r="AK17" s="124">
        <f>IF(G17="Falta",IF(I17+J17+K17+L17&gt;0,"Atenção, campo preenchido como falta",""),"")</f>
      </c>
      <c r="AL17" s="65"/>
      <c r="AO17" s="5">
        <v>0.3229166666666667</v>
      </c>
      <c r="AP17" s="5">
        <v>0.4375</v>
      </c>
      <c r="AQ17" s="5">
        <v>0.5</v>
      </c>
      <c r="AR17" s="5">
        <v>0.6666666666666666</v>
      </c>
    </row>
    <row r="18" spans="1:44" s="1" customFormat="1" ht="17.25" customHeight="1">
      <c r="A18" s="65"/>
      <c r="B18" s="16">
        <f>B17+1</f>
        <v>1</v>
      </c>
      <c r="C18" s="79">
        <f>IF(MONTH(B18)=MONTH(B$17),B18,"")</f>
        <v>1</v>
      </c>
      <c r="D18" s="80">
        <f>IF(E18&gt;0,IF(E18&gt;E17,D17,D17+1),0)</f>
        <v>2</v>
      </c>
      <c r="E18" s="81">
        <f>IF(MONTH(B18)=MONTH(B$17),WEEKDAY(C18),0)</f>
        <v>1</v>
      </c>
      <c r="F18" s="90" t="str">
        <f>TEXT(C18,"ddd")</f>
        <v>dom</v>
      </c>
      <c r="G18" s="132"/>
      <c r="H18" s="127">
        <f aca="true" t="shared" si="1" ref="H18:H48">VLOOKUP(E18,AF$18:AG$25,2,FALSE)</f>
        <v>0</v>
      </c>
      <c r="I18" s="133"/>
      <c r="J18" s="134"/>
      <c r="K18" s="135"/>
      <c r="L18" s="136"/>
      <c r="M18" s="82">
        <f aca="true" t="shared" si="2" ref="M18:M47">IF(G18="Comp mês anterior",H18,IF(G18="Atestado",H18,(J18-I18)+(L18-K18)))</f>
        <v>0</v>
      </c>
      <c r="N18" s="83">
        <f aca="true" t="shared" si="3" ref="N18:N47">IF(G18="Feriado",M18,IF(M18&gt;H18,M18-H18,""))</f>
      </c>
      <c r="O18" s="84">
        <f aca="true" t="shared" si="4" ref="O18:O47">IF(G18="Feriado","",IF(M18&gt;0,IF(M18&lt;VLOOKUP(E18,AF$18:AG$25,2,FALSE),VLOOKUP(E18,AF$18:AG$25,2,FALSE)-M18,""),""))</f>
      </c>
      <c r="P18" s="85">
        <f aca="true" t="shared" si="5" ref="P18:P46">IF(L17&gt;0,IF(I18&gt;0,("24:00")-L17+I18,IF(K18&gt;0,("24:00")-L17+K18)),0)</f>
        <v>0</v>
      </c>
      <c r="Q18" s="86">
        <f>IF(P18=0,IF(J17&gt;0,IF(I18&gt;0,("24:00")-J17+I18,IF(K18&gt;0,("24:00")-J17+K18)),0),0)</f>
        <v>0</v>
      </c>
      <c r="R18" s="86">
        <f>IF(P18&gt;0,IF(L17&gt;I18,0,0.45833),0)</f>
        <v>0</v>
      </c>
      <c r="S18" s="86">
        <f aca="true" t="shared" si="6" ref="S18:S47">IF(P18&gt;0,IF(R18&gt;0,0,IF(I18&gt;0,0,IF(L17&gt;K18,0,0.45833))),0)</f>
        <v>0</v>
      </c>
      <c r="T18" s="86">
        <f aca="true" t="shared" si="7" ref="T18:T47">IF(Q18&gt;0,IF(J17&gt;I18,0,0.45833),0)</f>
        <v>0</v>
      </c>
      <c r="U18" s="86">
        <f aca="true" t="shared" si="8" ref="U18:U47">IF(Q18&gt;0,IF(T18&gt;0,0,IF(I18&gt;0,0,IF(J17&gt;K18,0,0.45833))),0)</f>
        <v>0</v>
      </c>
      <c r="V18" s="87">
        <f aca="true" t="shared" si="9" ref="V18:V47">SUM(P18:U18)</f>
        <v>0</v>
      </c>
      <c r="W18" s="88">
        <f>IF(V18&gt;0,IF(AG$28&gt;V18,AG$28-V18,""),"")</f>
      </c>
      <c r="X18" s="89">
        <f aca="true" t="shared" si="10" ref="X18:X47">IF(G18="Comp mês anterior","",IF(G18="Atestado","",IF(M18&gt;0.25,IF(K18&lt;=0,0.041667,IF(J18&gt;0,IF(K18-J18&gt;0.041667,"",0.041667-(K18-J18)),0.041667)),"")))</f>
      </c>
      <c r="Y18" s="181">
        <f aca="true" t="shared" si="11" ref="Y18:Y47">IF(F18="dom",IF(G18="Feriado",1,0),0)</f>
        <v>0</v>
      </c>
      <c r="Z18" s="4" t="s">
        <v>23</v>
      </c>
      <c r="AA18" s="21">
        <f>SUMPRODUCT((D$17:D$47=2)*(G$17:G$47="Falta"))</f>
        <v>0</v>
      </c>
      <c r="AB18" s="4">
        <f t="shared" si="0"/>
        <v>0</v>
      </c>
      <c r="AF18" s="2">
        <v>2</v>
      </c>
      <c r="AG18" s="25">
        <f>J9</f>
        <v>0.3333333333333333</v>
      </c>
      <c r="AK18" s="124">
        <f aca="true" t="shared" si="12" ref="AK18:AK48">IF(G18="Falta",IF(I18+J18+K18+L18&gt;0,"Atenção, campo preenchido como falta",""),"")</f>
      </c>
      <c r="AL18" s="65"/>
      <c r="AO18" s="5">
        <v>0.3333333333333333</v>
      </c>
      <c r="AP18" s="5">
        <v>0.4479166666666667</v>
      </c>
      <c r="AQ18" s="5">
        <v>0.5104166666666666</v>
      </c>
      <c r="AR18" s="5">
        <v>0.6770833333333334</v>
      </c>
    </row>
    <row r="19" spans="1:44" s="1" customFormat="1" ht="17.25" customHeight="1">
      <c r="A19" s="65"/>
      <c r="B19" s="16">
        <f>B18+1</f>
        <v>2</v>
      </c>
      <c r="C19" s="22">
        <f aca="true" t="shared" si="13" ref="C19:C47">IF(MONTH(B19)=MONTH(B$17),B19,"")</f>
        <v>2</v>
      </c>
      <c r="D19" s="23">
        <f aca="true" t="shared" si="14" ref="D19:D46">IF(E19&gt;0,IF(E19&gt;E18,D18,D18+1),0)</f>
        <v>2</v>
      </c>
      <c r="E19" s="24">
        <f aca="true" t="shared" si="15" ref="E19:E47">IF(MONTH(B19)=MONTH(B$17),WEEKDAY(C19),0)</f>
        <v>2</v>
      </c>
      <c r="F19" s="27" t="str">
        <f aca="true" t="shared" si="16" ref="F19:F47">TEXT(C19,"ddd")</f>
        <v>seg</v>
      </c>
      <c r="G19" s="137"/>
      <c r="H19" s="127">
        <f t="shared" si="1"/>
        <v>0.3333333333333333</v>
      </c>
      <c r="I19" s="138"/>
      <c r="J19" s="139"/>
      <c r="K19" s="140"/>
      <c r="L19" s="141"/>
      <c r="M19" s="53">
        <f t="shared" si="2"/>
        <v>0</v>
      </c>
      <c r="N19" s="61">
        <f t="shared" si="3"/>
      </c>
      <c r="O19" s="62">
        <f t="shared" si="4"/>
      </c>
      <c r="P19" s="56">
        <f t="shared" si="5"/>
        <v>0</v>
      </c>
      <c r="Q19" s="40">
        <f aca="true" t="shared" si="17" ref="Q19:Q46">IF(P19=0,IF(J18&gt;0,IF(I19&gt;0,("24:00")-J18+I19,IF(K19&gt;0,("24:00")-J18+K19)),0),0)</f>
        <v>0</v>
      </c>
      <c r="R19" s="40">
        <f aca="true" t="shared" si="18" ref="R19:R46">IF(P19&gt;0,IF(L18&gt;I19,0,0.45833),0)</f>
        <v>0</v>
      </c>
      <c r="S19" s="40">
        <f t="shared" si="6"/>
        <v>0</v>
      </c>
      <c r="T19" s="40">
        <f t="shared" si="7"/>
        <v>0</v>
      </c>
      <c r="U19" s="40">
        <f t="shared" si="8"/>
        <v>0</v>
      </c>
      <c r="V19" s="44">
        <f t="shared" si="9"/>
        <v>0</v>
      </c>
      <c r="W19" s="47">
        <f>IF(V19&gt;0,IF(AG$28&gt;V19,AG$28-V19,""),"")</f>
      </c>
      <c r="X19" s="48">
        <f t="shared" si="10"/>
      </c>
      <c r="Y19" s="181">
        <f t="shared" si="11"/>
        <v>0</v>
      </c>
      <c r="Z19" s="4" t="s">
        <v>24</v>
      </c>
      <c r="AA19" s="21">
        <f>SUMPRODUCT((D$17:D$47=3)*(G$17:G$47="Falta"))</f>
        <v>0</v>
      </c>
      <c r="AB19" s="4">
        <f t="shared" si="0"/>
        <v>0</v>
      </c>
      <c r="AF19" s="2">
        <v>3</v>
      </c>
      <c r="AG19" s="25">
        <f>AG18</f>
        <v>0.3333333333333333</v>
      </c>
      <c r="AK19" s="124">
        <f t="shared" si="12"/>
      </c>
      <c r="AL19" s="65"/>
      <c r="AO19" s="5">
        <v>0.34375</v>
      </c>
      <c r="AP19" s="5">
        <v>0.4583333333333333</v>
      </c>
      <c r="AQ19" s="5">
        <v>0.5208333333333334</v>
      </c>
      <c r="AR19" s="5">
        <v>0.6875</v>
      </c>
    </row>
    <row r="20" spans="1:44" s="1" customFormat="1" ht="17.25" customHeight="1">
      <c r="A20" s="65"/>
      <c r="B20" s="16">
        <f>B19+1</f>
        <v>3</v>
      </c>
      <c r="C20" s="79">
        <f t="shared" si="13"/>
        <v>3</v>
      </c>
      <c r="D20" s="80">
        <f t="shared" si="14"/>
        <v>2</v>
      </c>
      <c r="E20" s="81">
        <f t="shared" si="15"/>
        <v>3</v>
      </c>
      <c r="F20" s="90" t="str">
        <f t="shared" si="16"/>
        <v>ter</v>
      </c>
      <c r="G20" s="132"/>
      <c r="H20" s="127">
        <f t="shared" si="1"/>
        <v>0.3333333333333333</v>
      </c>
      <c r="I20" s="133"/>
      <c r="J20" s="134"/>
      <c r="K20" s="135"/>
      <c r="L20" s="136"/>
      <c r="M20" s="82">
        <f>IF(G20="Comp mês anterior",H20,IF(G20="Atestado",H20,(J20-I20)+(L20-K20)))</f>
        <v>0</v>
      </c>
      <c r="N20" s="83">
        <f t="shared" si="3"/>
      </c>
      <c r="O20" s="84">
        <f t="shared" si="4"/>
      </c>
      <c r="P20" s="85">
        <f t="shared" si="5"/>
        <v>0</v>
      </c>
      <c r="Q20" s="86">
        <f t="shared" si="17"/>
        <v>0</v>
      </c>
      <c r="R20" s="86">
        <f t="shared" si="18"/>
        <v>0</v>
      </c>
      <c r="S20" s="86">
        <f t="shared" si="6"/>
        <v>0</v>
      </c>
      <c r="T20" s="86">
        <f t="shared" si="7"/>
        <v>0</v>
      </c>
      <c r="U20" s="86">
        <f t="shared" si="8"/>
        <v>0</v>
      </c>
      <c r="V20" s="87">
        <f t="shared" si="9"/>
        <v>0</v>
      </c>
      <c r="W20" s="88">
        <f>IF(V20&gt;0,IF(AG$28&gt;V20,AG$28-V20,""),"")</f>
      </c>
      <c r="X20" s="89">
        <f t="shared" si="10"/>
      </c>
      <c r="Y20" s="181">
        <f t="shared" si="11"/>
        <v>0</v>
      </c>
      <c r="Z20" s="20" t="s">
        <v>25</v>
      </c>
      <c r="AA20" s="21">
        <f>SUMPRODUCT((D$17:D$47=4)*(G$17:G$47="Falta"))</f>
        <v>0</v>
      </c>
      <c r="AB20" s="4">
        <f t="shared" si="0"/>
        <v>0</v>
      </c>
      <c r="AF20" s="2">
        <v>4</v>
      </c>
      <c r="AG20" s="25">
        <f>AG19</f>
        <v>0.3333333333333333</v>
      </c>
      <c r="AK20" s="124">
        <f t="shared" si="12"/>
      </c>
      <c r="AL20" s="65"/>
      <c r="AO20" s="5">
        <v>0.3541666666666667</v>
      </c>
      <c r="AP20" s="5">
        <v>0.46875</v>
      </c>
      <c r="AQ20" s="5">
        <v>0.53125</v>
      </c>
      <c r="AR20" s="5">
        <v>0.697916666666667</v>
      </c>
    </row>
    <row r="21" spans="1:44" s="1" customFormat="1" ht="17.25" customHeight="1">
      <c r="A21" s="65"/>
      <c r="B21" s="16">
        <f aca="true" t="shared" si="19" ref="B21:B46">B20+1</f>
        <v>4</v>
      </c>
      <c r="C21" s="22">
        <f t="shared" si="13"/>
        <v>4</v>
      </c>
      <c r="D21" s="23">
        <f t="shared" si="14"/>
        <v>2</v>
      </c>
      <c r="E21" s="24">
        <f t="shared" si="15"/>
        <v>4</v>
      </c>
      <c r="F21" s="27" t="str">
        <f t="shared" si="16"/>
        <v>qua</v>
      </c>
      <c r="G21" s="137"/>
      <c r="H21" s="127">
        <f t="shared" si="1"/>
        <v>0.3333333333333333</v>
      </c>
      <c r="I21" s="138"/>
      <c r="J21" s="139"/>
      <c r="K21" s="140"/>
      <c r="L21" s="141"/>
      <c r="M21" s="53">
        <f t="shared" si="2"/>
        <v>0</v>
      </c>
      <c r="N21" s="61">
        <f t="shared" si="3"/>
      </c>
      <c r="O21" s="62">
        <f t="shared" si="4"/>
      </c>
      <c r="P21" s="56">
        <f t="shared" si="5"/>
        <v>0</v>
      </c>
      <c r="Q21" s="40">
        <f t="shared" si="17"/>
        <v>0</v>
      </c>
      <c r="R21" s="40">
        <f t="shared" si="18"/>
        <v>0</v>
      </c>
      <c r="S21" s="40">
        <f t="shared" si="6"/>
        <v>0</v>
      </c>
      <c r="T21" s="40">
        <f t="shared" si="7"/>
        <v>0</v>
      </c>
      <c r="U21" s="40">
        <f t="shared" si="8"/>
        <v>0</v>
      </c>
      <c r="V21" s="44">
        <f t="shared" si="9"/>
        <v>0</v>
      </c>
      <c r="W21" s="47">
        <f>IF(V21&gt;0,IF(AG$28&gt;V21,AG$28-V21,""),"")</f>
      </c>
      <c r="X21" s="48">
        <f t="shared" si="10"/>
      </c>
      <c r="Y21" s="181">
        <f t="shared" si="11"/>
        <v>0</v>
      </c>
      <c r="Z21" s="4" t="s">
        <v>26</v>
      </c>
      <c r="AA21" s="21">
        <f>SUMPRODUCT((D$17:D$47=5)*(G$17:G$47="Falta"))</f>
        <v>0</v>
      </c>
      <c r="AB21" s="4">
        <f t="shared" si="0"/>
        <v>0</v>
      </c>
      <c r="AF21" s="2">
        <v>5</v>
      </c>
      <c r="AG21" s="25">
        <f>AG20</f>
        <v>0.3333333333333333</v>
      </c>
      <c r="AK21" s="124">
        <f t="shared" si="12"/>
      </c>
      <c r="AL21" s="65"/>
      <c r="AO21" s="5">
        <v>0.3645833333333333</v>
      </c>
      <c r="AP21" s="5">
        <v>0.479166666666667</v>
      </c>
      <c r="AQ21" s="5">
        <v>0.541666666666667</v>
      </c>
      <c r="AR21" s="5">
        <v>0.708333333333334</v>
      </c>
    </row>
    <row r="22" spans="1:44" s="1" customFormat="1" ht="17.25" customHeight="1">
      <c r="A22" s="65"/>
      <c r="B22" s="16">
        <f t="shared" si="19"/>
        <v>5</v>
      </c>
      <c r="C22" s="79">
        <f t="shared" si="13"/>
        <v>5</v>
      </c>
      <c r="D22" s="80">
        <f t="shared" si="14"/>
        <v>2</v>
      </c>
      <c r="E22" s="81">
        <f t="shared" si="15"/>
        <v>5</v>
      </c>
      <c r="F22" s="90" t="str">
        <f t="shared" si="16"/>
        <v>qui</v>
      </c>
      <c r="G22" s="132"/>
      <c r="H22" s="127">
        <f t="shared" si="1"/>
        <v>0.3333333333333333</v>
      </c>
      <c r="I22" s="133"/>
      <c r="J22" s="134"/>
      <c r="K22" s="135"/>
      <c r="L22" s="136"/>
      <c r="M22" s="82">
        <f t="shared" si="2"/>
        <v>0</v>
      </c>
      <c r="N22" s="83">
        <f t="shared" si="3"/>
      </c>
      <c r="O22" s="84">
        <f t="shared" si="4"/>
      </c>
      <c r="P22" s="85">
        <f t="shared" si="5"/>
        <v>0</v>
      </c>
      <c r="Q22" s="86">
        <f t="shared" si="17"/>
        <v>0</v>
      </c>
      <c r="R22" s="86">
        <f t="shared" si="18"/>
        <v>0</v>
      </c>
      <c r="S22" s="86">
        <f t="shared" si="6"/>
        <v>0</v>
      </c>
      <c r="T22" s="86">
        <f t="shared" si="7"/>
        <v>0</v>
      </c>
      <c r="U22" s="86">
        <f t="shared" si="8"/>
        <v>0</v>
      </c>
      <c r="V22" s="87">
        <f t="shared" si="9"/>
        <v>0</v>
      </c>
      <c r="W22" s="88">
        <f aca="true" t="shared" si="20" ref="W22:W47">IF(V22&gt;0,IF(AG$28&gt;V22,AG$28-V22,""),"")</f>
      </c>
      <c r="X22" s="89">
        <f t="shared" si="10"/>
      </c>
      <c r="Y22" s="181">
        <f t="shared" si="11"/>
        <v>0</v>
      </c>
      <c r="Z22" s="4" t="s">
        <v>101</v>
      </c>
      <c r="AA22" s="21">
        <f>SUMPRODUCT((D$17:D$47=6)*(G$17:G$47="Falta"))</f>
        <v>0</v>
      </c>
      <c r="AB22" s="4">
        <f t="shared" si="0"/>
        <v>0</v>
      </c>
      <c r="AF22" s="2">
        <v>6</v>
      </c>
      <c r="AG22" s="25">
        <f>AG21</f>
        <v>0.3333333333333333</v>
      </c>
      <c r="AK22" s="124">
        <f t="shared" si="12"/>
      </c>
      <c r="AL22" s="65"/>
      <c r="AO22" s="5">
        <v>0.375</v>
      </c>
      <c r="AP22" s="5">
        <v>0.489583333333333</v>
      </c>
      <c r="AQ22" s="5">
        <v>0.552083333333333</v>
      </c>
      <c r="AR22" s="5">
        <v>0.71875</v>
      </c>
    </row>
    <row r="23" spans="1:44" s="1" customFormat="1" ht="17.25" customHeight="1">
      <c r="A23" s="65"/>
      <c r="B23" s="16">
        <f t="shared" si="19"/>
        <v>6</v>
      </c>
      <c r="C23" s="22">
        <f t="shared" si="13"/>
        <v>6</v>
      </c>
      <c r="D23" s="23">
        <f t="shared" si="14"/>
        <v>2</v>
      </c>
      <c r="E23" s="24">
        <f t="shared" si="15"/>
        <v>6</v>
      </c>
      <c r="F23" s="27" t="str">
        <f t="shared" si="16"/>
        <v>sex</v>
      </c>
      <c r="G23" s="137"/>
      <c r="H23" s="127">
        <f t="shared" si="1"/>
        <v>0.3333333333333333</v>
      </c>
      <c r="I23" s="138"/>
      <c r="J23" s="139"/>
      <c r="K23" s="140"/>
      <c r="L23" s="141"/>
      <c r="M23" s="53">
        <f t="shared" si="2"/>
        <v>0</v>
      </c>
      <c r="N23" s="61">
        <f t="shared" si="3"/>
      </c>
      <c r="O23" s="62">
        <f t="shared" si="4"/>
      </c>
      <c r="P23" s="56">
        <f t="shared" si="5"/>
        <v>0</v>
      </c>
      <c r="Q23" s="40">
        <f t="shared" si="17"/>
        <v>0</v>
      </c>
      <c r="R23" s="40">
        <f t="shared" si="18"/>
        <v>0</v>
      </c>
      <c r="S23" s="40">
        <f t="shared" si="6"/>
        <v>0</v>
      </c>
      <c r="T23" s="40">
        <f t="shared" si="7"/>
        <v>0</v>
      </c>
      <c r="U23" s="40">
        <f t="shared" si="8"/>
        <v>0</v>
      </c>
      <c r="V23" s="44">
        <f t="shared" si="9"/>
        <v>0</v>
      </c>
      <c r="W23" s="47">
        <f t="shared" si="20"/>
      </c>
      <c r="X23" s="48">
        <f t="shared" si="10"/>
      </c>
      <c r="Y23" s="181">
        <f t="shared" si="11"/>
        <v>0</v>
      </c>
      <c r="Z23" s="4" t="s">
        <v>29</v>
      </c>
      <c r="AA23" s="4"/>
      <c r="AB23" s="4"/>
      <c r="AF23" s="2">
        <v>7</v>
      </c>
      <c r="AG23" s="25">
        <f>J10</f>
        <v>0.16666666666666666</v>
      </c>
      <c r="AK23" s="124">
        <f t="shared" si="12"/>
      </c>
      <c r="AL23" s="65"/>
      <c r="AO23" s="5">
        <v>0.385416666666666</v>
      </c>
      <c r="AP23" s="5">
        <v>0.5</v>
      </c>
      <c r="AQ23" s="5">
        <v>0.5625</v>
      </c>
      <c r="AR23" s="5">
        <v>0.729166666666667</v>
      </c>
    </row>
    <row r="24" spans="1:44" s="1" customFormat="1" ht="17.25" customHeight="1">
      <c r="A24" s="65"/>
      <c r="B24" s="16">
        <f>B23+1</f>
        <v>7</v>
      </c>
      <c r="C24" s="79">
        <f t="shared" si="13"/>
        <v>7</v>
      </c>
      <c r="D24" s="80">
        <f t="shared" si="14"/>
        <v>2</v>
      </c>
      <c r="E24" s="81">
        <f t="shared" si="15"/>
        <v>7</v>
      </c>
      <c r="F24" s="90" t="str">
        <f t="shared" si="16"/>
        <v>sáb</v>
      </c>
      <c r="G24" s="132"/>
      <c r="H24" s="127">
        <f t="shared" si="1"/>
        <v>0.16666666666666666</v>
      </c>
      <c r="I24" s="133"/>
      <c r="J24" s="134"/>
      <c r="K24" s="135"/>
      <c r="L24" s="136"/>
      <c r="M24" s="82">
        <f t="shared" si="2"/>
        <v>0</v>
      </c>
      <c r="N24" s="83">
        <f t="shared" si="3"/>
      </c>
      <c r="O24" s="84">
        <f t="shared" si="4"/>
      </c>
      <c r="P24" s="85">
        <f t="shared" si="5"/>
        <v>0</v>
      </c>
      <c r="Q24" s="86">
        <f t="shared" si="17"/>
        <v>0</v>
      </c>
      <c r="R24" s="86">
        <f t="shared" si="18"/>
        <v>0</v>
      </c>
      <c r="S24" s="86">
        <f t="shared" si="6"/>
        <v>0</v>
      </c>
      <c r="T24" s="86">
        <f t="shared" si="7"/>
        <v>0</v>
      </c>
      <c r="U24" s="86">
        <f t="shared" si="8"/>
        <v>0</v>
      </c>
      <c r="V24" s="87">
        <f t="shared" si="9"/>
        <v>0</v>
      </c>
      <c r="W24" s="88">
        <f t="shared" si="20"/>
      </c>
      <c r="X24" s="89">
        <f t="shared" si="10"/>
      </c>
      <c r="Y24" s="181">
        <f t="shared" si="11"/>
        <v>0</v>
      </c>
      <c r="Z24" s="20" t="s">
        <v>22</v>
      </c>
      <c r="AA24" s="21">
        <f>SUMPRODUCT((D$17:D$47=1)*(G$17:G$47="Feriado"))</f>
        <v>0</v>
      </c>
      <c r="AB24" s="4"/>
      <c r="AF24" s="2">
        <v>1</v>
      </c>
      <c r="AG24" s="25">
        <f>J11</f>
        <v>0</v>
      </c>
      <c r="AK24" s="124">
        <f t="shared" si="12"/>
      </c>
      <c r="AL24" s="65"/>
      <c r="AO24" s="5">
        <v>0.395833333333333</v>
      </c>
      <c r="AP24" s="5">
        <v>0.510416666666667</v>
      </c>
      <c r="AQ24" s="5">
        <v>0.572916666666666</v>
      </c>
      <c r="AR24" s="5">
        <v>0.739583333333334</v>
      </c>
    </row>
    <row r="25" spans="1:44" s="1" customFormat="1" ht="17.25" customHeight="1">
      <c r="A25" s="65"/>
      <c r="B25" s="16">
        <f t="shared" si="19"/>
        <v>8</v>
      </c>
      <c r="C25" s="22">
        <f t="shared" si="13"/>
        <v>8</v>
      </c>
      <c r="D25" s="23">
        <f t="shared" si="14"/>
        <v>3</v>
      </c>
      <c r="E25" s="24">
        <f t="shared" si="15"/>
        <v>1</v>
      </c>
      <c r="F25" s="27" t="str">
        <f t="shared" si="16"/>
        <v>dom</v>
      </c>
      <c r="G25" s="137"/>
      <c r="H25" s="127">
        <f t="shared" si="1"/>
        <v>0</v>
      </c>
      <c r="I25" s="138"/>
      <c r="J25" s="139"/>
      <c r="K25" s="140"/>
      <c r="L25" s="141"/>
      <c r="M25" s="53">
        <f t="shared" si="2"/>
        <v>0</v>
      </c>
      <c r="N25" s="61">
        <f t="shared" si="3"/>
      </c>
      <c r="O25" s="62">
        <f t="shared" si="4"/>
      </c>
      <c r="P25" s="56">
        <f t="shared" si="5"/>
        <v>0</v>
      </c>
      <c r="Q25" s="40">
        <f t="shared" si="17"/>
        <v>0</v>
      </c>
      <c r="R25" s="40">
        <f t="shared" si="18"/>
        <v>0</v>
      </c>
      <c r="S25" s="40">
        <f t="shared" si="6"/>
        <v>0</v>
      </c>
      <c r="T25" s="40">
        <f t="shared" si="7"/>
        <v>0</v>
      </c>
      <c r="U25" s="40">
        <f t="shared" si="8"/>
        <v>0</v>
      </c>
      <c r="V25" s="44">
        <f t="shared" si="9"/>
        <v>0</v>
      </c>
      <c r="W25" s="47">
        <f t="shared" si="20"/>
      </c>
      <c r="X25" s="48">
        <f t="shared" si="10"/>
      </c>
      <c r="Y25" s="181">
        <f t="shared" si="11"/>
        <v>0</v>
      </c>
      <c r="Z25" s="4" t="s">
        <v>23</v>
      </c>
      <c r="AA25" s="21">
        <f>SUMPRODUCT((D$17:D$47=2)*(G$17:G$47="Feriado"))</f>
        <v>0</v>
      </c>
      <c r="AB25" s="4"/>
      <c r="AF25" s="2">
        <v>0</v>
      </c>
      <c r="AG25" s="25">
        <v>0</v>
      </c>
      <c r="AK25" s="124">
        <f t="shared" si="12"/>
      </c>
      <c r="AL25" s="65"/>
      <c r="AO25" s="5">
        <v>0.40625</v>
      </c>
      <c r="AP25" s="5">
        <v>0.520833333333333</v>
      </c>
      <c r="AQ25" s="5">
        <v>0.583333333333333</v>
      </c>
      <c r="AR25" s="5">
        <v>0.750000000000001</v>
      </c>
    </row>
    <row r="26" spans="1:44" s="1" customFormat="1" ht="17.25" customHeight="1">
      <c r="A26" s="65"/>
      <c r="B26" s="16">
        <f t="shared" si="19"/>
        <v>9</v>
      </c>
      <c r="C26" s="79">
        <f t="shared" si="13"/>
        <v>9</v>
      </c>
      <c r="D26" s="80">
        <f t="shared" si="14"/>
        <v>3</v>
      </c>
      <c r="E26" s="81">
        <f t="shared" si="15"/>
        <v>2</v>
      </c>
      <c r="F26" s="90" t="str">
        <f t="shared" si="16"/>
        <v>seg</v>
      </c>
      <c r="G26" s="132"/>
      <c r="H26" s="127">
        <f t="shared" si="1"/>
        <v>0.3333333333333333</v>
      </c>
      <c r="I26" s="133"/>
      <c r="J26" s="134"/>
      <c r="K26" s="135"/>
      <c r="L26" s="136"/>
      <c r="M26" s="82">
        <f t="shared" si="2"/>
        <v>0</v>
      </c>
      <c r="N26" s="83">
        <f t="shared" si="3"/>
      </c>
      <c r="O26" s="84">
        <f t="shared" si="4"/>
      </c>
      <c r="P26" s="85">
        <f t="shared" si="5"/>
        <v>0</v>
      </c>
      <c r="Q26" s="86">
        <f t="shared" si="17"/>
        <v>0</v>
      </c>
      <c r="R26" s="86">
        <f t="shared" si="18"/>
        <v>0</v>
      </c>
      <c r="S26" s="86">
        <f t="shared" si="6"/>
        <v>0</v>
      </c>
      <c r="T26" s="86">
        <f t="shared" si="7"/>
        <v>0</v>
      </c>
      <c r="U26" s="86">
        <f t="shared" si="8"/>
        <v>0</v>
      </c>
      <c r="V26" s="87">
        <f t="shared" si="9"/>
        <v>0</v>
      </c>
      <c r="W26" s="88">
        <f t="shared" si="20"/>
      </c>
      <c r="X26" s="89">
        <f t="shared" si="10"/>
      </c>
      <c r="Y26" s="181">
        <f t="shared" si="11"/>
        <v>0</v>
      </c>
      <c r="Z26" s="4" t="s">
        <v>24</v>
      </c>
      <c r="AA26" s="21">
        <f>SUMPRODUCT((D$17:D$47=3)*(G$17:G$47="Feriado"))</f>
        <v>0</v>
      </c>
      <c r="AB26" s="4"/>
      <c r="AF26" s="2" t="s">
        <v>12</v>
      </c>
      <c r="AG26" s="26">
        <v>0</v>
      </c>
      <c r="AK26" s="124">
        <f t="shared" si="12"/>
      </c>
      <c r="AL26" s="65"/>
      <c r="AO26" s="5">
        <v>0.416666666666666</v>
      </c>
      <c r="AP26" s="5">
        <v>0.53125</v>
      </c>
      <c r="AQ26" s="5">
        <v>0.59375</v>
      </c>
      <c r="AR26" s="5">
        <v>0.760416666666667</v>
      </c>
    </row>
    <row r="27" spans="1:44" s="1" customFormat="1" ht="17.25" customHeight="1">
      <c r="A27" s="65"/>
      <c r="B27" s="16">
        <f t="shared" si="19"/>
        <v>10</v>
      </c>
      <c r="C27" s="22">
        <f t="shared" si="13"/>
        <v>10</v>
      </c>
      <c r="D27" s="23">
        <f t="shared" si="14"/>
        <v>3</v>
      </c>
      <c r="E27" s="24">
        <f t="shared" si="15"/>
        <v>3</v>
      </c>
      <c r="F27" s="27" t="str">
        <f t="shared" si="16"/>
        <v>ter</v>
      </c>
      <c r="G27" s="137"/>
      <c r="H27" s="127">
        <f t="shared" si="1"/>
        <v>0.3333333333333333</v>
      </c>
      <c r="I27" s="138"/>
      <c r="J27" s="139"/>
      <c r="K27" s="143"/>
      <c r="L27" s="141"/>
      <c r="M27" s="53">
        <f t="shared" si="2"/>
        <v>0</v>
      </c>
      <c r="N27" s="61">
        <f t="shared" si="3"/>
      </c>
      <c r="O27" s="62">
        <f t="shared" si="4"/>
      </c>
      <c r="P27" s="56">
        <f t="shared" si="5"/>
        <v>0</v>
      </c>
      <c r="Q27" s="40">
        <f t="shared" si="17"/>
        <v>0</v>
      </c>
      <c r="R27" s="40">
        <f t="shared" si="18"/>
        <v>0</v>
      </c>
      <c r="S27" s="40">
        <f t="shared" si="6"/>
        <v>0</v>
      </c>
      <c r="T27" s="40">
        <f t="shared" si="7"/>
        <v>0</v>
      </c>
      <c r="U27" s="40">
        <f t="shared" si="8"/>
        <v>0</v>
      </c>
      <c r="V27" s="44">
        <f t="shared" si="9"/>
        <v>0</v>
      </c>
      <c r="W27" s="47">
        <f t="shared" si="20"/>
      </c>
      <c r="X27" s="48">
        <f t="shared" si="10"/>
      </c>
      <c r="Y27" s="181">
        <f t="shared" si="11"/>
        <v>0</v>
      </c>
      <c r="Z27" s="20" t="s">
        <v>25</v>
      </c>
      <c r="AA27" s="21">
        <f>SUMPRODUCT((D$17:D$47=4)*(G$17:G$47="Feriado"))</f>
        <v>0</v>
      </c>
      <c r="AB27" s="4"/>
      <c r="AE27" s="1" t="s">
        <v>82</v>
      </c>
      <c r="AF27" s="2">
        <v>171</v>
      </c>
      <c r="AG27" s="26"/>
      <c r="AK27" s="124">
        <f t="shared" si="12"/>
      </c>
      <c r="AL27" s="65"/>
      <c r="AO27" s="5">
        <v>0.427083333333333</v>
      </c>
      <c r="AP27" s="5">
        <v>0.541666666666667</v>
      </c>
      <c r="AQ27" s="5">
        <v>0.604166666666666</v>
      </c>
      <c r="AR27" s="5">
        <v>0.770833333333334</v>
      </c>
    </row>
    <row r="28" spans="1:44" s="1" customFormat="1" ht="17.25" customHeight="1">
      <c r="A28" s="65"/>
      <c r="B28" s="16">
        <f t="shared" si="19"/>
        <v>11</v>
      </c>
      <c r="C28" s="79">
        <f t="shared" si="13"/>
        <v>11</v>
      </c>
      <c r="D28" s="80">
        <f t="shared" si="14"/>
        <v>3</v>
      </c>
      <c r="E28" s="81">
        <f t="shared" si="15"/>
        <v>4</v>
      </c>
      <c r="F28" s="90" t="str">
        <f t="shared" si="16"/>
        <v>qua</v>
      </c>
      <c r="G28" s="132"/>
      <c r="H28" s="127">
        <f t="shared" si="1"/>
        <v>0.3333333333333333</v>
      </c>
      <c r="I28" s="144"/>
      <c r="J28" s="145"/>
      <c r="K28" s="146"/>
      <c r="L28" s="147"/>
      <c r="M28" s="82">
        <f t="shared" si="2"/>
        <v>0</v>
      </c>
      <c r="N28" s="83">
        <f t="shared" si="3"/>
      </c>
      <c r="O28" s="84">
        <f t="shared" si="4"/>
      </c>
      <c r="P28" s="85">
        <f t="shared" si="5"/>
        <v>0</v>
      </c>
      <c r="Q28" s="86">
        <f t="shared" si="17"/>
        <v>0</v>
      </c>
      <c r="R28" s="86">
        <f t="shared" si="18"/>
        <v>0</v>
      </c>
      <c r="S28" s="86">
        <f t="shared" si="6"/>
        <v>0</v>
      </c>
      <c r="T28" s="86">
        <f t="shared" si="7"/>
        <v>0</v>
      </c>
      <c r="U28" s="86">
        <f t="shared" si="8"/>
        <v>0</v>
      </c>
      <c r="V28" s="87">
        <f t="shared" si="9"/>
        <v>0</v>
      </c>
      <c r="W28" s="88">
        <f t="shared" si="20"/>
      </c>
      <c r="X28" s="89">
        <f t="shared" si="10"/>
      </c>
      <c r="Y28" s="181">
        <f t="shared" si="11"/>
        <v>0</v>
      </c>
      <c r="Z28" s="4" t="s">
        <v>26</v>
      </c>
      <c r="AA28" s="21">
        <f>SUMPRODUCT((D$17:D$47=5)*(G$17:G$47="Feriado"))</f>
        <v>0</v>
      </c>
      <c r="AB28" s="4"/>
      <c r="AF28" s="1" t="s">
        <v>65</v>
      </c>
      <c r="AG28" s="5">
        <v>0.4583333333333333</v>
      </c>
      <c r="AK28" s="124">
        <f t="shared" si="12"/>
      </c>
      <c r="AL28" s="65"/>
      <c r="AO28" s="5">
        <v>0.4375</v>
      </c>
      <c r="AP28" s="5">
        <v>0.552083333333334</v>
      </c>
      <c r="AQ28" s="5">
        <v>0.614583333333333</v>
      </c>
      <c r="AR28" s="5">
        <v>0.781250000000001</v>
      </c>
    </row>
    <row r="29" spans="1:44" s="1" customFormat="1" ht="17.25" customHeight="1">
      <c r="A29" s="65"/>
      <c r="B29" s="16">
        <f t="shared" si="19"/>
        <v>12</v>
      </c>
      <c r="C29" s="22">
        <f t="shared" si="13"/>
        <v>12</v>
      </c>
      <c r="D29" s="23">
        <f t="shared" si="14"/>
        <v>3</v>
      </c>
      <c r="E29" s="24">
        <f t="shared" si="15"/>
        <v>5</v>
      </c>
      <c r="F29" s="27" t="str">
        <f t="shared" si="16"/>
        <v>qui</v>
      </c>
      <c r="G29" s="137"/>
      <c r="H29" s="127">
        <f t="shared" si="1"/>
        <v>0.3333333333333333</v>
      </c>
      <c r="I29" s="148"/>
      <c r="J29" s="142"/>
      <c r="K29" s="143"/>
      <c r="L29" s="149"/>
      <c r="M29" s="53">
        <f t="shared" si="2"/>
        <v>0</v>
      </c>
      <c r="N29" s="61">
        <f t="shared" si="3"/>
      </c>
      <c r="O29" s="62">
        <f t="shared" si="4"/>
      </c>
      <c r="P29" s="56">
        <f t="shared" si="5"/>
        <v>0</v>
      </c>
      <c r="Q29" s="40">
        <f t="shared" si="17"/>
        <v>0</v>
      </c>
      <c r="R29" s="40">
        <f t="shared" si="18"/>
        <v>0</v>
      </c>
      <c r="S29" s="40">
        <f t="shared" si="6"/>
        <v>0</v>
      </c>
      <c r="T29" s="40">
        <f t="shared" si="7"/>
        <v>0</v>
      </c>
      <c r="U29" s="40">
        <f t="shared" si="8"/>
        <v>0</v>
      </c>
      <c r="V29" s="44">
        <f t="shared" si="9"/>
        <v>0</v>
      </c>
      <c r="W29" s="47">
        <f t="shared" si="20"/>
      </c>
      <c r="X29" s="48">
        <f t="shared" si="10"/>
      </c>
      <c r="Y29" s="181">
        <f t="shared" si="11"/>
        <v>0</v>
      </c>
      <c r="Z29" s="4" t="s">
        <v>101</v>
      </c>
      <c r="AA29" s="21">
        <f>SUMPRODUCT((D$17:D$47=6)*(G$17:G$47="Feriado"))</f>
        <v>0</v>
      </c>
      <c r="AK29" s="124">
        <f t="shared" si="12"/>
      </c>
      <c r="AL29" s="65"/>
      <c r="AO29" s="5">
        <v>0.447916666666667</v>
      </c>
      <c r="AP29" s="5">
        <v>0.5625</v>
      </c>
      <c r="AQ29" s="5">
        <v>0.625</v>
      </c>
      <c r="AR29" s="5">
        <v>0.791666666666668</v>
      </c>
    </row>
    <row r="30" spans="1:44" s="1" customFormat="1" ht="17.25" customHeight="1">
      <c r="A30" s="65"/>
      <c r="B30" s="16">
        <f t="shared" si="19"/>
        <v>13</v>
      </c>
      <c r="C30" s="79">
        <f t="shared" si="13"/>
        <v>13</v>
      </c>
      <c r="D30" s="80">
        <f t="shared" si="14"/>
        <v>3</v>
      </c>
      <c r="E30" s="81">
        <f t="shared" si="15"/>
        <v>6</v>
      </c>
      <c r="F30" s="90" t="str">
        <f t="shared" si="16"/>
        <v>sex</v>
      </c>
      <c r="G30" s="132"/>
      <c r="H30" s="127">
        <f t="shared" si="1"/>
        <v>0.3333333333333333</v>
      </c>
      <c r="I30" s="144"/>
      <c r="J30" s="145"/>
      <c r="K30" s="146"/>
      <c r="L30" s="147"/>
      <c r="M30" s="82">
        <f t="shared" si="2"/>
        <v>0</v>
      </c>
      <c r="N30" s="83">
        <f t="shared" si="3"/>
      </c>
      <c r="O30" s="84">
        <f t="shared" si="4"/>
      </c>
      <c r="P30" s="85">
        <f t="shared" si="5"/>
        <v>0</v>
      </c>
      <c r="Q30" s="86">
        <f t="shared" si="17"/>
        <v>0</v>
      </c>
      <c r="R30" s="86">
        <f t="shared" si="18"/>
        <v>0</v>
      </c>
      <c r="S30" s="86">
        <f t="shared" si="6"/>
        <v>0</v>
      </c>
      <c r="T30" s="86">
        <f t="shared" si="7"/>
        <v>0</v>
      </c>
      <c r="U30" s="86">
        <f t="shared" si="8"/>
        <v>0</v>
      </c>
      <c r="V30" s="87">
        <f t="shared" si="9"/>
        <v>0</v>
      </c>
      <c r="W30" s="88">
        <f t="shared" si="20"/>
      </c>
      <c r="X30" s="89">
        <f t="shared" si="10"/>
      </c>
      <c r="Y30" s="181">
        <f t="shared" si="11"/>
        <v>0</v>
      </c>
      <c r="AF30" s="1" t="s">
        <v>39</v>
      </c>
      <c r="AK30" s="124">
        <f t="shared" si="12"/>
      </c>
      <c r="AL30" s="65"/>
      <c r="AO30" s="5">
        <v>0.458333333333333</v>
      </c>
      <c r="AP30" s="5">
        <v>0.572916666666667</v>
      </c>
      <c r="AQ30" s="5">
        <v>0.635416666666666</v>
      </c>
      <c r="AR30" s="5">
        <v>0.802083333333335</v>
      </c>
    </row>
    <row r="31" spans="1:44" s="1" customFormat="1" ht="17.25" customHeight="1">
      <c r="A31" s="65"/>
      <c r="B31" s="16">
        <f t="shared" si="19"/>
        <v>14</v>
      </c>
      <c r="C31" s="22">
        <f t="shared" si="13"/>
        <v>14</v>
      </c>
      <c r="D31" s="23">
        <f t="shared" si="14"/>
        <v>3</v>
      </c>
      <c r="E31" s="24">
        <f t="shared" si="15"/>
        <v>7</v>
      </c>
      <c r="F31" s="27" t="str">
        <f t="shared" si="16"/>
        <v>sáb</v>
      </c>
      <c r="G31" s="137"/>
      <c r="H31" s="127">
        <f t="shared" si="1"/>
        <v>0.16666666666666666</v>
      </c>
      <c r="I31" s="148"/>
      <c r="J31" s="142"/>
      <c r="K31" s="143"/>
      <c r="L31" s="149"/>
      <c r="M31" s="53">
        <f t="shared" si="2"/>
        <v>0</v>
      </c>
      <c r="N31" s="61">
        <f t="shared" si="3"/>
      </c>
      <c r="O31" s="62">
        <f t="shared" si="4"/>
      </c>
      <c r="P31" s="56">
        <f t="shared" si="5"/>
        <v>0</v>
      </c>
      <c r="Q31" s="40">
        <f t="shared" si="17"/>
        <v>0</v>
      </c>
      <c r="R31" s="40">
        <f t="shared" si="18"/>
        <v>0</v>
      </c>
      <c r="S31" s="40">
        <f t="shared" si="6"/>
        <v>0</v>
      </c>
      <c r="T31" s="40">
        <f t="shared" si="7"/>
        <v>0</v>
      </c>
      <c r="U31" s="40">
        <f t="shared" si="8"/>
        <v>0</v>
      </c>
      <c r="V31" s="44">
        <f t="shared" si="9"/>
        <v>0</v>
      </c>
      <c r="W31" s="47">
        <f t="shared" si="20"/>
      </c>
      <c r="X31" s="48">
        <f t="shared" si="10"/>
      </c>
      <c r="Y31" s="181">
        <f t="shared" si="11"/>
        <v>0</v>
      </c>
      <c r="Z31" s="1" t="s">
        <v>16</v>
      </c>
      <c r="AA31" s="1">
        <f>COUNTIF(F17:F47,"dom")+COUNTIF(G17:G47,"Feriado")</f>
        <v>5</v>
      </c>
      <c r="AK31" s="124">
        <f t="shared" si="12"/>
      </c>
      <c r="AL31" s="65"/>
      <c r="AO31" s="5">
        <v>0.46875</v>
      </c>
      <c r="AP31" s="5">
        <v>0.583333333333334</v>
      </c>
      <c r="AQ31" s="5">
        <v>0.645833333333333</v>
      </c>
      <c r="AR31" s="5">
        <v>0.812500000000001</v>
      </c>
    </row>
    <row r="32" spans="1:44" s="1" customFormat="1" ht="17.25" customHeight="1">
      <c r="A32" s="65"/>
      <c r="B32" s="16">
        <f t="shared" si="19"/>
        <v>15</v>
      </c>
      <c r="C32" s="79">
        <f t="shared" si="13"/>
        <v>15</v>
      </c>
      <c r="D32" s="80">
        <f t="shared" si="14"/>
        <v>4</v>
      </c>
      <c r="E32" s="81">
        <f t="shared" si="15"/>
        <v>1</v>
      </c>
      <c r="F32" s="90" t="str">
        <f t="shared" si="16"/>
        <v>dom</v>
      </c>
      <c r="G32" s="132"/>
      <c r="H32" s="127">
        <f t="shared" si="1"/>
        <v>0</v>
      </c>
      <c r="I32" s="144"/>
      <c r="J32" s="145"/>
      <c r="K32" s="146"/>
      <c r="L32" s="147"/>
      <c r="M32" s="82">
        <f t="shared" si="2"/>
        <v>0</v>
      </c>
      <c r="N32" s="83">
        <f t="shared" si="3"/>
      </c>
      <c r="O32" s="84">
        <f t="shared" si="4"/>
      </c>
      <c r="P32" s="85">
        <f t="shared" si="5"/>
        <v>0</v>
      </c>
      <c r="Q32" s="86">
        <f t="shared" si="17"/>
        <v>0</v>
      </c>
      <c r="R32" s="86">
        <f t="shared" si="18"/>
        <v>0</v>
      </c>
      <c r="S32" s="86">
        <f t="shared" si="6"/>
        <v>0</v>
      </c>
      <c r="T32" s="86">
        <f t="shared" si="7"/>
        <v>0</v>
      </c>
      <c r="U32" s="86">
        <f t="shared" si="8"/>
        <v>0</v>
      </c>
      <c r="V32" s="87">
        <f t="shared" si="9"/>
        <v>0</v>
      </c>
      <c r="W32" s="88">
        <f t="shared" si="20"/>
      </c>
      <c r="X32" s="89">
        <f t="shared" si="10"/>
      </c>
      <c r="Y32" s="181">
        <f t="shared" si="11"/>
        <v>0</v>
      </c>
      <c r="Z32" s="1" t="s">
        <v>17</v>
      </c>
      <c r="AA32" s="1">
        <f>COUNTIF(E17:E47,"&gt;0")-(AA31)</f>
        <v>26</v>
      </c>
      <c r="AF32" s="1" t="s">
        <v>4</v>
      </c>
      <c r="AK32" s="124">
        <f t="shared" si="12"/>
      </c>
      <c r="AL32" s="65"/>
      <c r="AO32" s="5">
        <v>0.479166666666666</v>
      </c>
      <c r="AP32" s="5">
        <v>0.59375</v>
      </c>
      <c r="AQ32" s="5">
        <v>0.656249999999999</v>
      </c>
      <c r="AR32" s="5">
        <v>0.822916666666668</v>
      </c>
    </row>
    <row r="33" spans="1:44" s="1" customFormat="1" ht="17.25" customHeight="1">
      <c r="A33" s="65"/>
      <c r="B33" s="16">
        <f t="shared" si="19"/>
        <v>16</v>
      </c>
      <c r="C33" s="22">
        <f t="shared" si="13"/>
        <v>16</v>
      </c>
      <c r="D33" s="23">
        <f t="shared" si="14"/>
        <v>4</v>
      </c>
      <c r="E33" s="24">
        <f t="shared" si="15"/>
        <v>2</v>
      </c>
      <c r="F33" s="27" t="str">
        <f t="shared" si="16"/>
        <v>seg</v>
      </c>
      <c r="G33" s="137"/>
      <c r="H33" s="127">
        <f t="shared" si="1"/>
        <v>0.3333333333333333</v>
      </c>
      <c r="I33" s="148"/>
      <c r="J33" s="139"/>
      <c r="K33" s="143"/>
      <c r="L33" s="149"/>
      <c r="M33" s="53">
        <f t="shared" si="2"/>
        <v>0</v>
      </c>
      <c r="N33" s="61">
        <f t="shared" si="3"/>
      </c>
      <c r="O33" s="62">
        <f t="shared" si="4"/>
      </c>
      <c r="P33" s="56">
        <f t="shared" si="5"/>
        <v>0</v>
      </c>
      <c r="Q33" s="40">
        <f t="shared" si="17"/>
        <v>0</v>
      </c>
      <c r="R33" s="40">
        <f t="shared" si="18"/>
        <v>0</v>
      </c>
      <c r="S33" s="40">
        <f t="shared" si="6"/>
        <v>0</v>
      </c>
      <c r="T33" s="40">
        <f t="shared" si="7"/>
        <v>0</v>
      </c>
      <c r="U33" s="40">
        <f t="shared" si="8"/>
        <v>0</v>
      </c>
      <c r="V33" s="44">
        <f t="shared" si="9"/>
        <v>0</v>
      </c>
      <c r="W33" s="47">
        <f t="shared" si="20"/>
      </c>
      <c r="X33" s="48">
        <f t="shared" si="10"/>
      </c>
      <c r="Y33" s="181">
        <f t="shared" si="11"/>
        <v>0</v>
      </c>
      <c r="Z33" s="1" t="s">
        <v>83</v>
      </c>
      <c r="AA33" s="29">
        <f>F11/J13/24</f>
        <v>0</v>
      </c>
      <c r="AF33" s="1" t="s">
        <v>5</v>
      </c>
      <c r="AK33" s="124">
        <f t="shared" si="12"/>
      </c>
      <c r="AL33" s="65"/>
      <c r="AO33" s="5">
        <v>0.489583333333333</v>
      </c>
      <c r="AP33" s="5">
        <v>0.604166666666667</v>
      </c>
      <c r="AQ33" s="5">
        <v>0.666666666666666</v>
      </c>
      <c r="AR33" s="5">
        <v>0.833333333333335</v>
      </c>
    </row>
    <row r="34" spans="1:44" s="1" customFormat="1" ht="17.25" customHeight="1">
      <c r="A34" s="65"/>
      <c r="B34" s="16">
        <f t="shared" si="19"/>
        <v>17</v>
      </c>
      <c r="C34" s="79">
        <f t="shared" si="13"/>
        <v>17</v>
      </c>
      <c r="D34" s="80">
        <f t="shared" si="14"/>
        <v>4</v>
      </c>
      <c r="E34" s="81">
        <f t="shared" si="15"/>
        <v>3</v>
      </c>
      <c r="F34" s="90" t="str">
        <f t="shared" si="16"/>
        <v>ter</v>
      </c>
      <c r="G34" s="132"/>
      <c r="H34" s="127">
        <f t="shared" si="1"/>
        <v>0.3333333333333333</v>
      </c>
      <c r="I34" s="144"/>
      <c r="J34" s="145"/>
      <c r="K34" s="146"/>
      <c r="L34" s="147"/>
      <c r="M34" s="82">
        <f t="shared" si="2"/>
        <v>0</v>
      </c>
      <c r="N34" s="83">
        <f t="shared" si="3"/>
      </c>
      <c r="O34" s="84">
        <f t="shared" si="4"/>
      </c>
      <c r="P34" s="85">
        <f t="shared" si="5"/>
        <v>0</v>
      </c>
      <c r="Q34" s="86">
        <f t="shared" si="17"/>
        <v>0</v>
      </c>
      <c r="R34" s="86">
        <f t="shared" si="18"/>
        <v>0</v>
      </c>
      <c r="S34" s="86">
        <f t="shared" si="6"/>
        <v>0</v>
      </c>
      <c r="T34" s="86">
        <f t="shared" si="7"/>
        <v>0</v>
      </c>
      <c r="U34" s="86">
        <f t="shared" si="8"/>
        <v>0</v>
      </c>
      <c r="V34" s="87">
        <f t="shared" si="9"/>
        <v>0</v>
      </c>
      <c r="W34" s="88">
        <f t="shared" si="20"/>
      </c>
      <c r="X34" s="89">
        <f t="shared" si="10"/>
      </c>
      <c r="Y34" s="181">
        <f t="shared" si="11"/>
        <v>0</v>
      </c>
      <c r="Z34" s="1" t="s">
        <v>34</v>
      </c>
      <c r="AA34" s="28">
        <f>(F11/J13/24)*Configuração!E8+(F11/J13/24)</f>
        <v>0</v>
      </c>
      <c r="AF34" s="1" t="s">
        <v>18</v>
      </c>
      <c r="AK34" s="124">
        <f t="shared" si="12"/>
      </c>
      <c r="AL34" s="65"/>
      <c r="AO34" s="5">
        <v>0.5</v>
      </c>
      <c r="AP34" s="5">
        <v>0.614583333333334</v>
      </c>
      <c r="AQ34" s="5">
        <v>0.677083333333333</v>
      </c>
      <c r="AR34" s="5">
        <v>0.843750000000002</v>
      </c>
    </row>
    <row r="35" spans="1:44" s="1" customFormat="1" ht="17.25" customHeight="1">
      <c r="A35" s="65"/>
      <c r="B35" s="16">
        <f t="shared" si="19"/>
        <v>18</v>
      </c>
      <c r="C35" s="22">
        <f t="shared" si="13"/>
        <v>18</v>
      </c>
      <c r="D35" s="23">
        <f t="shared" si="14"/>
        <v>4</v>
      </c>
      <c r="E35" s="24">
        <f>IF(MONTH(B35)=MONTH(B$17),WEEKDAY(C35),0)</f>
        <v>4</v>
      </c>
      <c r="F35" s="27" t="str">
        <f t="shared" si="16"/>
        <v>qua</v>
      </c>
      <c r="G35" s="137"/>
      <c r="H35" s="127">
        <f t="shared" si="1"/>
        <v>0.3333333333333333</v>
      </c>
      <c r="I35" s="148"/>
      <c r="J35" s="142"/>
      <c r="K35" s="143"/>
      <c r="L35" s="149"/>
      <c r="M35" s="53">
        <f t="shared" si="2"/>
        <v>0</v>
      </c>
      <c r="N35" s="61">
        <f t="shared" si="3"/>
      </c>
      <c r="O35" s="62">
        <f t="shared" si="4"/>
      </c>
      <c r="P35" s="56">
        <f t="shared" si="5"/>
        <v>0</v>
      </c>
      <c r="Q35" s="40">
        <f t="shared" si="17"/>
        <v>0</v>
      </c>
      <c r="R35" s="40">
        <f t="shared" si="18"/>
        <v>0</v>
      </c>
      <c r="S35" s="40">
        <f t="shared" si="6"/>
        <v>0</v>
      </c>
      <c r="T35" s="40">
        <f t="shared" si="7"/>
        <v>0</v>
      </c>
      <c r="U35" s="40">
        <f t="shared" si="8"/>
        <v>0</v>
      </c>
      <c r="V35" s="44">
        <f t="shared" si="9"/>
        <v>0</v>
      </c>
      <c r="W35" s="47">
        <f t="shared" si="20"/>
      </c>
      <c r="X35" s="48">
        <f t="shared" si="10"/>
      </c>
      <c r="Y35" s="181">
        <f t="shared" si="11"/>
        <v>0</v>
      </c>
      <c r="Z35" s="1" t="s">
        <v>35</v>
      </c>
      <c r="AA35" s="28">
        <f>(F11/J13/24)*Configuração!E9+(F11/J13/24)</f>
        <v>0</v>
      </c>
      <c r="AF35" s="1" t="s">
        <v>43</v>
      </c>
      <c r="AK35" s="124">
        <f t="shared" si="12"/>
      </c>
      <c r="AL35" s="65"/>
      <c r="AO35" s="5">
        <v>0.510416666666666</v>
      </c>
      <c r="AP35" s="5">
        <v>0.625</v>
      </c>
      <c r="AQ35" s="5">
        <v>0.687499999999999</v>
      </c>
      <c r="AR35" s="5">
        <v>0.854166666666669</v>
      </c>
    </row>
    <row r="36" spans="1:44" s="1" customFormat="1" ht="17.25" customHeight="1">
      <c r="A36" s="65"/>
      <c r="B36" s="16">
        <f t="shared" si="19"/>
        <v>19</v>
      </c>
      <c r="C36" s="79">
        <f t="shared" si="13"/>
        <v>19</v>
      </c>
      <c r="D36" s="80">
        <f t="shared" si="14"/>
        <v>4</v>
      </c>
      <c r="E36" s="81">
        <f t="shared" si="15"/>
        <v>5</v>
      </c>
      <c r="F36" s="90" t="str">
        <f t="shared" si="16"/>
        <v>qui</v>
      </c>
      <c r="G36" s="132"/>
      <c r="H36" s="127">
        <f t="shared" si="1"/>
        <v>0.3333333333333333</v>
      </c>
      <c r="I36" s="144"/>
      <c r="J36" s="145"/>
      <c r="K36" s="146"/>
      <c r="L36" s="147"/>
      <c r="M36" s="82">
        <f t="shared" si="2"/>
        <v>0</v>
      </c>
      <c r="N36" s="83">
        <f t="shared" si="3"/>
      </c>
      <c r="O36" s="84">
        <f t="shared" si="4"/>
      </c>
      <c r="P36" s="85">
        <f t="shared" si="5"/>
        <v>0</v>
      </c>
      <c r="Q36" s="86">
        <f t="shared" si="17"/>
        <v>0</v>
      </c>
      <c r="R36" s="86">
        <f t="shared" si="18"/>
        <v>0</v>
      </c>
      <c r="S36" s="86">
        <f t="shared" si="6"/>
        <v>0</v>
      </c>
      <c r="T36" s="86">
        <f t="shared" si="7"/>
        <v>0</v>
      </c>
      <c r="U36" s="86">
        <f t="shared" si="8"/>
        <v>0</v>
      </c>
      <c r="V36" s="87">
        <f t="shared" si="9"/>
        <v>0</v>
      </c>
      <c r="W36" s="88">
        <f t="shared" si="20"/>
      </c>
      <c r="X36" s="89">
        <f t="shared" si="10"/>
      </c>
      <c r="Y36" s="181">
        <f t="shared" si="11"/>
        <v>0</v>
      </c>
      <c r="Z36" s="1" t="s">
        <v>36</v>
      </c>
      <c r="AA36" s="29">
        <f>F11/30</f>
        <v>0</v>
      </c>
      <c r="AK36" s="124">
        <f t="shared" si="12"/>
      </c>
      <c r="AL36" s="65"/>
      <c r="AO36" s="5">
        <v>0.520833333333333</v>
      </c>
      <c r="AP36" s="5">
        <v>0.635416666666667</v>
      </c>
      <c r="AR36" s="5">
        <v>0.864583333333336</v>
      </c>
    </row>
    <row r="37" spans="1:44" s="1" customFormat="1" ht="17.25" customHeight="1">
      <c r="A37" s="65"/>
      <c r="B37" s="16">
        <f t="shared" si="19"/>
        <v>20</v>
      </c>
      <c r="C37" s="22">
        <f t="shared" si="13"/>
        <v>20</v>
      </c>
      <c r="D37" s="23">
        <f t="shared" si="14"/>
        <v>4</v>
      </c>
      <c r="E37" s="24">
        <f t="shared" si="15"/>
        <v>6</v>
      </c>
      <c r="F37" s="27" t="str">
        <f t="shared" si="16"/>
        <v>sex</v>
      </c>
      <c r="G37" s="137"/>
      <c r="H37" s="127">
        <f t="shared" si="1"/>
        <v>0.3333333333333333</v>
      </c>
      <c r="I37" s="148"/>
      <c r="J37" s="142"/>
      <c r="K37" s="143"/>
      <c r="L37" s="149"/>
      <c r="M37" s="53">
        <f t="shared" si="2"/>
        <v>0</v>
      </c>
      <c r="N37" s="61">
        <f t="shared" si="3"/>
      </c>
      <c r="O37" s="62">
        <f t="shared" si="4"/>
      </c>
      <c r="P37" s="56">
        <f t="shared" si="5"/>
        <v>0</v>
      </c>
      <c r="Q37" s="40">
        <f t="shared" si="17"/>
        <v>0</v>
      </c>
      <c r="R37" s="40">
        <f t="shared" si="18"/>
        <v>0</v>
      </c>
      <c r="S37" s="40">
        <f t="shared" si="6"/>
        <v>0</v>
      </c>
      <c r="T37" s="40">
        <f t="shared" si="7"/>
        <v>0</v>
      </c>
      <c r="U37" s="40">
        <f t="shared" si="8"/>
        <v>0</v>
      </c>
      <c r="V37" s="44">
        <f t="shared" si="9"/>
        <v>0</v>
      </c>
      <c r="W37" s="47">
        <f t="shared" si="20"/>
      </c>
      <c r="X37" s="48">
        <f t="shared" si="10"/>
      </c>
      <c r="Y37" s="181">
        <f t="shared" si="11"/>
        <v>0</v>
      </c>
      <c r="AF37" s="30" t="s">
        <v>51</v>
      </c>
      <c r="AG37" s="31">
        <f>IF(W48&gt;AG41,W48-AG41,0)</f>
        <v>0</v>
      </c>
      <c r="AK37" s="124">
        <f t="shared" si="12"/>
      </c>
      <c r="AL37" s="65"/>
      <c r="AO37" s="5"/>
      <c r="AR37" s="5">
        <v>0.875000000000003</v>
      </c>
    </row>
    <row r="38" spans="1:44" s="1" customFormat="1" ht="17.25" customHeight="1">
      <c r="A38" s="65"/>
      <c r="B38" s="16">
        <f t="shared" si="19"/>
        <v>21</v>
      </c>
      <c r="C38" s="79">
        <f t="shared" si="13"/>
        <v>21</v>
      </c>
      <c r="D38" s="80">
        <f t="shared" si="14"/>
        <v>4</v>
      </c>
      <c r="E38" s="81">
        <f t="shared" si="15"/>
        <v>7</v>
      </c>
      <c r="F38" s="90" t="str">
        <f t="shared" si="16"/>
        <v>sáb</v>
      </c>
      <c r="G38" s="132"/>
      <c r="H38" s="127">
        <f t="shared" si="1"/>
        <v>0.16666666666666666</v>
      </c>
      <c r="I38" s="133"/>
      <c r="J38" s="145"/>
      <c r="K38" s="146"/>
      <c r="L38" s="147"/>
      <c r="M38" s="82">
        <f t="shared" si="2"/>
        <v>0</v>
      </c>
      <c r="N38" s="83">
        <f t="shared" si="3"/>
      </c>
      <c r="O38" s="84">
        <f t="shared" si="4"/>
      </c>
      <c r="P38" s="85">
        <f t="shared" si="5"/>
        <v>0</v>
      </c>
      <c r="Q38" s="86">
        <f t="shared" si="17"/>
        <v>0</v>
      </c>
      <c r="R38" s="86">
        <f t="shared" si="18"/>
        <v>0</v>
      </c>
      <c r="S38" s="86">
        <f t="shared" si="6"/>
        <v>0</v>
      </c>
      <c r="T38" s="86">
        <f t="shared" si="7"/>
        <v>0</v>
      </c>
      <c r="U38" s="86">
        <f t="shared" si="8"/>
        <v>0</v>
      </c>
      <c r="V38" s="87">
        <f t="shared" si="9"/>
        <v>0</v>
      </c>
      <c r="W38" s="88">
        <f t="shared" si="20"/>
      </c>
      <c r="X38" s="89">
        <f t="shared" si="10"/>
      </c>
      <c r="Y38" s="181">
        <f t="shared" si="11"/>
        <v>0</v>
      </c>
      <c r="AA38" s="30" t="s">
        <v>84</v>
      </c>
      <c r="AB38" s="163">
        <f>N48-AB43</f>
        <v>0</v>
      </c>
      <c r="AC38" s="165">
        <f>IF(O48&gt;N48,O48-N48,0)</f>
        <v>0</v>
      </c>
      <c r="AF38" s="32" t="s">
        <v>54</v>
      </c>
      <c r="AG38" s="6">
        <f>SUMIF(F17:F47,"dom",W17:W47)</f>
        <v>0</v>
      </c>
      <c r="AK38" s="124">
        <f t="shared" si="12"/>
      </c>
      <c r="AL38" s="65"/>
      <c r="AO38" s="5"/>
      <c r="AR38" s="5">
        <v>0.88541666666667</v>
      </c>
    </row>
    <row r="39" spans="1:44" s="1" customFormat="1" ht="17.25" customHeight="1">
      <c r="A39" s="65"/>
      <c r="B39" s="16">
        <f t="shared" si="19"/>
        <v>22</v>
      </c>
      <c r="C39" s="22">
        <f t="shared" si="13"/>
        <v>22</v>
      </c>
      <c r="D39" s="23">
        <f t="shared" si="14"/>
        <v>5</v>
      </c>
      <c r="E39" s="24">
        <f t="shared" si="15"/>
        <v>1</v>
      </c>
      <c r="F39" s="27" t="str">
        <f t="shared" si="16"/>
        <v>dom</v>
      </c>
      <c r="G39" s="137"/>
      <c r="H39" s="127">
        <f t="shared" si="1"/>
        <v>0</v>
      </c>
      <c r="I39" s="148"/>
      <c r="J39" s="142"/>
      <c r="K39" s="143"/>
      <c r="L39" s="149"/>
      <c r="M39" s="53">
        <f t="shared" si="2"/>
        <v>0</v>
      </c>
      <c r="N39" s="61">
        <f t="shared" si="3"/>
      </c>
      <c r="O39" s="62">
        <f t="shared" si="4"/>
      </c>
      <c r="P39" s="56">
        <f t="shared" si="5"/>
        <v>0</v>
      </c>
      <c r="Q39" s="40">
        <f t="shared" si="17"/>
        <v>0</v>
      </c>
      <c r="R39" s="40">
        <f t="shared" si="18"/>
        <v>0</v>
      </c>
      <c r="S39" s="40">
        <f t="shared" si="6"/>
        <v>0</v>
      </c>
      <c r="T39" s="40">
        <f t="shared" si="7"/>
        <v>0</v>
      </c>
      <c r="U39" s="40">
        <f t="shared" si="8"/>
        <v>0</v>
      </c>
      <c r="V39" s="44">
        <f t="shared" si="9"/>
        <v>0</v>
      </c>
      <c r="W39" s="47">
        <f t="shared" si="20"/>
      </c>
      <c r="X39" s="48">
        <f t="shared" si="10"/>
      </c>
      <c r="Y39" s="181">
        <f t="shared" si="11"/>
        <v>0</v>
      </c>
      <c r="Z39" s="33"/>
      <c r="AA39" s="30" t="s">
        <v>30</v>
      </c>
      <c r="AB39" s="164">
        <f>IF(AC38&gt;0,0,IF(N48&gt;AB43,N48-(AB43+AB44),0))</f>
        <v>0</v>
      </c>
      <c r="AC39" s="166">
        <f>IF(AB38&gt;AB44,AB38-AB44,0)</f>
        <v>0</v>
      </c>
      <c r="AF39" s="32" t="s">
        <v>55</v>
      </c>
      <c r="AG39" s="6">
        <f>SUMIF(G17:G47,"Feriado",W17:W47)</f>
        <v>0</v>
      </c>
      <c r="AK39" s="124">
        <f t="shared" si="12"/>
      </c>
      <c r="AL39" s="65"/>
      <c r="AO39" s="5"/>
      <c r="AR39" s="5">
        <v>0.895833333333337</v>
      </c>
    </row>
    <row r="40" spans="1:44" s="1" customFormat="1" ht="17.25" customHeight="1">
      <c r="A40" s="65"/>
      <c r="B40" s="16">
        <f t="shared" si="19"/>
        <v>23</v>
      </c>
      <c r="C40" s="79">
        <f t="shared" si="13"/>
        <v>23</v>
      </c>
      <c r="D40" s="80">
        <f t="shared" si="14"/>
        <v>5</v>
      </c>
      <c r="E40" s="81">
        <f t="shared" si="15"/>
        <v>2</v>
      </c>
      <c r="F40" s="90" t="str">
        <f t="shared" si="16"/>
        <v>seg</v>
      </c>
      <c r="G40" s="132"/>
      <c r="H40" s="127">
        <f t="shared" si="1"/>
        <v>0.3333333333333333</v>
      </c>
      <c r="I40" s="144"/>
      <c r="J40" s="145"/>
      <c r="K40" s="146"/>
      <c r="L40" s="147"/>
      <c r="M40" s="82">
        <f t="shared" si="2"/>
        <v>0</v>
      </c>
      <c r="N40" s="83">
        <f t="shared" si="3"/>
      </c>
      <c r="O40" s="84">
        <f t="shared" si="4"/>
      </c>
      <c r="P40" s="85">
        <f t="shared" si="5"/>
        <v>0</v>
      </c>
      <c r="Q40" s="86">
        <f t="shared" si="17"/>
        <v>0</v>
      </c>
      <c r="R40" s="86">
        <f t="shared" si="18"/>
        <v>0</v>
      </c>
      <c r="S40" s="86">
        <f t="shared" si="6"/>
        <v>0</v>
      </c>
      <c r="T40" s="86">
        <f t="shared" si="7"/>
        <v>0</v>
      </c>
      <c r="U40" s="86">
        <f t="shared" si="8"/>
        <v>0</v>
      </c>
      <c r="V40" s="87">
        <f t="shared" si="9"/>
        <v>0</v>
      </c>
      <c r="W40" s="88">
        <f t="shared" si="20"/>
      </c>
      <c r="X40" s="89">
        <f t="shared" si="10"/>
      </c>
      <c r="Y40" s="181">
        <f t="shared" si="11"/>
        <v>0</v>
      </c>
      <c r="AA40" s="32" t="s">
        <v>31</v>
      </c>
      <c r="AB40" s="163">
        <f>SUMIF(F17:F47,"dom",N17:N47)</f>
        <v>0</v>
      </c>
      <c r="AC40" s="167">
        <f>IF(AB44&gt;AB38,AB44-AB38,0)</f>
        <v>0</v>
      </c>
      <c r="AF40" s="32" t="s">
        <v>58</v>
      </c>
      <c r="AG40" s="6">
        <f>SUMIF(Y17:Y47,1,W17:W47)</f>
        <v>0</v>
      </c>
      <c r="AK40" s="124">
        <f t="shared" si="12"/>
      </c>
      <c r="AL40" s="65"/>
      <c r="AO40" s="5"/>
      <c r="AR40" s="5">
        <v>0.906250000000005</v>
      </c>
    </row>
    <row r="41" spans="1:44" s="1" customFormat="1" ht="17.25" customHeight="1">
      <c r="A41" s="65"/>
      <c r="B41" s="16">
        <f t="shared" si="19"/>
        <v>24</v>
      </c>
      <c r="C41" s="22">
        <f t="shared" si="13"/>
        <v>24</v>
      </c>
      <c r="D41" s="23">
        <f t="shared" si="14"/>
        <v>5</v>
      </c>
      <c r="E41" s="24">
        <f t="shared" si="15"/>
        <v>3</v>
      </c>
      <c r="F41" s="27" t="str">
        <f t="shared" si="16"/>
        <v>ter</v>
      </c>
      <c r="G41" s="137"/>
      <c r="H41" s="127">
        <f t="shared" si="1"/>
        <v>0.3333333333333333</v>
      </c>
      <c r="I41" s="148"/>
      <c r="J41" s="142"/>
      <c r="K41" s="143"/>
      <c r="L41" s="141"/>
      <c r="M41" s="53">
        <f t="shared" si="2"/>
        <v>0</v>
      </c>
      <c r="N41" s="61">
        <f t="shared" si="3"/>
      </c>
      <c r="O41" s="62">
        <f t="shared" si="4"/>
      </c>
      <c r="P41" s="56">
        <f t="shared" si="5"/>
        <v>0</v>
      </c>
      <c r="Q41" s="40">
        <f t="shared" si="17"/>
        <v>0</v>
      </c>
      <c r="R41" s="40">
        <f t="shared" si="18"/>
        <v>0</v>
      </c>
      <c r="S41" s="40">
        <f t="shared" si="6"/>
        <v>0</v>
      </c>
      <c r="T41" s="40">
        <f t="shared" si="7"/>
        <v>0</v>
      </c>
      <c r="U41" s="40">
        <f t="shared" si="8"/>
        <v>0</v>
      </c>
      <c r="V41" s="44">
        <f t="shared" si="9"/>
        <v>0</v>
      </c>
      <c r="W41" s="47">
        <f t="shared" si="20"/>
      </c>
      <c r="X41" s="48">
        <f t="shared" si="10"/>
      </c>
      <c r="Y41" s="181">
        <f t="shared" si="11"/>
        <v>0</v>
      </c>
      <c r="AA41" s="32" t="s">
        <v>32</v>
      </c>
      <c r="AB41" s="163">
        <f>SUMIF(G17:G47,"Feriado",N17:N47)</f>
        <v>0</v>
      </c>
      <c r="AC41" s="165"/>
      <c r="AF41" s="30" t="s">
        <v>57</v>
      </c>
      <c r="AG41" s="31">
        <f>(AG38+AG39)-AG40</f>
        <v>0</v>
      </c>
      <c r="AK41" s="124">
        <f t="shared" si="12"/>
      </c>
      <c r="AL41" s="65"/>
      <c r="AO41" s="5"/>
      <c r="AR41" s="5">
        <v>0.916666666666672</v>
      </c>
    </row>
    <row r="42" spans="1:44" s="1" customFormat="1" ht="17.25" customHeight="1">
      <c r="A42" s="65"/>
      <c r="B42" s="16">
        <f t="shared" si="19"/>
        <v>25</v>
      </c>
      <c r="C42" s="79">
        <f t="shared" si="13"/>
        <v>25</v>
      </c>
      <c r="D42" s="23">
        <f t="shared" si="14"/>
        <v>5</v>
      </c>
      <c r="E42" s="24">
        <f t="shared" si="15"/>
        <v>4</v>
      </c>
      <c r="F42" s="90" t="str">
        <f t="shared" si="16"/>
        <v>qua</v>
      </c>
      <c r="G42" s="132"/>
      <c r="H42" s="127">
        <f t="shared" si="1"/>
        <v>0.3333333333333333</v>
      </c>
      <c r="I42" s="133"/>
      <c r="J42" s="134"/>
      <c r="K42" s="146"/>
      <c r="L42" s="136"/>
      <c r="M42" s="82">
        <f t="shared" si="2"/>
        <v>0</v>
      </c>
      <c r="N42" s="83">
        <f t="shared" si="3"/>
      </c>
      <c r="O42" s="84">
        <f t="shared" si="4"/>
      </c>
      <c r="P42" s="85">
        <f t="shared" si="5"/>
        <v>0</v>
      </c>
      <c r="Q42" s="86">
        <f t="shared" si="17"/>
        <v>0</v>
      </c>
      <c r="R42" s="86">
        <f t="shared" si="18"/>
        <v>0</v>
      </c>
      <c r="S42" s="86">
        <f t="shared" si="6"/>
        <v>0</v>
      </c>
      <c r="T42" s="86">
        <f t="shared" si="7"/>
        <v>0</v>
      </c>
      <c r="U42" s="86">
        <f t="shared" si="8"/>
        <v>0</v>
      </c>
      <c r="V42" s="87">
        <f t="shared" si="9"/>
        <v>0</v>
      </c>
      <c r="W42" s="88">
        <f t="shared" si="20"/>
      </c>
      <c r="X42" s="89">
        <f t="shared" si="10"/>
      </c>
      <c r="Y42" s="181">
        <f t="shared" si="11"/>
        <v>0</v>
      </c>
      <c r="AA42" s="32" t="s">
        <v>56</v>
      </c>
      <c r="AB42" s="163">
        <f>SUMIF(Y17:Y47,1,N17:N47)</f>
        <v>0</v>
      </c>
      <c r="AC42" s="165"/>
      <c r="AK42" s="124">
        <f t="shared" si="12"/>
      </c>
      <c r="AL42" s="65"/>
      <c r="AO42" s="5"/>
      <c r="AR42" s="5">
        <v>0.927083333333339</v>
      </c>
    </row>
    <row r="43" spans="1:44" s="1" customFormat="1" ht="17.25" customHeight="1">
      <c r="A43" s="65"/>
      <c r="B43" s="16">
        <f t="shared" si="19"/>
        <v>26</v>
      </c>
      <c r="C43" s="22">
        <f t="shared" si="13"/>
        <v>26</v>
      </c>
      <c r="D43" s="23">
        <f t="shared" si="14"/>
        <v>5</v>
      </c>
      <c r="E43" s="24">
        <f t="shared" si="15"/>
        <v>5</v>
      </c>
      <c r="F43" s="27" t="str">
        <f t="shared" si="16"/>
        <v>qui</v>
      </c>
      <c r="G43" s="137"/>
      <c r="H43" s="127">
        <f t="shared" si="1"/>
        <v>0.3333333333333333</v>
      </c>
      <c r="I43" s="138"/>
      <c r="J43" s="139"/>
      <c r="K43" s="143"/>
      <c r="L43" s="141"/>
      <c r="M43" s="53">
        <f t="shared" si="2"/>
        <v>0</v>
      </c>
      <c r="N43" s="61">
        <f t="shared" si="3"/>
      </c>
      <c r="O43" s="62">
        <f t="shared" si="4"/>
      </c>
      <c r="P43" s="56">
        <f t="shared" si="5"/>
        <v>0</v>
      </c>
      <c r="Q43" s="40">
        <f t="shared" si="17"/>
        <v>0</v>
      </c>
      <c r="R43" s="40">
        <f t="shared" si="18"/>
        <v>0</v>
      </c>
      <c r="S43" s="40">
        <f t="shared" si="6"/>
        <v>0</v>
      </c>
      <c r="T43" s="40">
        <f t="shared" si="7"/>
        <v>0</v>
      </c>
      <c r="U43" s="40">
        <f t="shared" si="8"/>
        <v>0</v>
      </c>
      <c r="V43" s="44">
        <f t="shared" si="9"/>
        <v>0</v>
      </c>
      <c r="W43" s="47">
        <f t="shared" si="20"/>
      </c>
      <c r="X43" s="48">
        <f t="shared" si="10"/>
      </c>
      <c r="Y43" s="181">
        <f t="shared" si="11"/>
        <v>0</v>
      </c>
      <c r="Z43" s="33"/>
      <c r="AA43" s="30" t="s">
        <v>57</v>
      </c>
      <c r="AB43" s="164">
        <f>(AB40+AB41)-AB42</f>
        <v>0</v>
      </c>
      <c r="AC43" s="166">
        <f>IF(AC38&gt;AB38,IF(AC38&gt;AB43,AC38-AB43,0),0)</f>
        <v>0</v>
      </c>
      <c r="AF43" s="30" t="s">
        <v>52</v>
      </c>
      <c r="AG43" s="31">
        <f>IF(X48&gt;AG47,X48-AG47,0)</f>
        <v>0</v>
      </c>
      <c r="AK43" s="124">
        <f t="shared" si="12"/>
      </c>
      <c r="AL43" s="65"/>
      <c r="AO43" s="5"/>
      <c r="AR43" s="5">
        <v>0.937500000000006</v>
      </c>
    </row>
    <row r="44" spans="1:44" s="1" customFormat="1" ht="17.25" customHeight="1">
      <c r="A44" s="65"/>
      <c r="B44" s="16">
        <f t="shared" si="19"/>
        <v>27</v>
      </c>
      <c r="C44" s="79">
        <f t="shared" si="13"/>
        <v>27</v>
      </c>
      <c r="D44" s="80">
        <f t="shared" si="14"/>
        <v>5</v>
      </c>
      <c r="E44" s="81">
        <f t="shared" si="15"/>
        <v>6</v>
      </c>
      <c r="F44" s="90" t="str">
        <f t="shared" si="16"/>
        <v>sex</v>
      </c>
      <c r="G44" s="132"/>
      <c r="H44" s="127">
        <f t="shared" si="1"/>
        <v>0.3333333333333333</v>
      </c>
      <c r="I44" s="133"/>
      <c r="J44" s="134"/>
      <c r="K44" s="146"/>
      <c r="L44" s="136"/>
      <c r="M44" s="82">
        <f t="shared" si="2"/>
        <v>0</v>
      </c>
      <c r="N44" s="83">
        <f t="shared" si="3"/>
      </c>
      <c r="O44" s="84">
        <f t="shared" si="4"/>
      </c>
      <c r="P44" s="85">
        <f t="shared" si="5"/>
        <v>0</v>
      </c>
      <c r="Q44" s="86">
        <f t="shared" si="17"/>
        <v>0</v>
      </c>
      <c r="R44" s="86">
        <f t="shared" si="18"/>
        <v>0</v>
      </c>
      <c r="S44" s="86">
        <f t="shared" si="6"/>
        <v>0</v>
      </c>
      <c r="T44" s="86">
        <f t="shared" si="7"/>
        <v>0</v>
      </c>
      <c r="U44" s="86">
        <f t="shared" si="8"/>
        <v>0</v>
      </c>
      <c r="V44" s="87">
        <f t="shared" si="9"/>
        <v>0</v>
      </c>
      <c r="W44" s="88">
        <f t="shared" si="20"/>
      </c>
      <c r="X44" s="89">
        <f t="shared" si="10"/>
      </c>
      <c r="Y44" s="181">
        <f t="shared" si="11"/>
        <v>0</v>
      </c>
      <c r="AA44" s="32" t="s">
        <v>33</v>
      </c>
      <c r="AB44" s="163">
        <f>O48</f>
        <v>0</v>
      </c>
      <c r="AC44" s="166">
        <f>IF(AC40&lt;AB43,AB43-AC40,0)</f>
        <v>0</v>
      </c>
      <c r="AF44" s="32" t="s">
        <v>59</v>
      </c>
      <c r="AG44" s="6">
        <f>SUMIF(F17:F47,"dom",X17:X47)</f>
        <v>0</v>
      </c>
      <c r="AK44" s="124">
        <f t="shared" si="12"/>
      </c>
      <c r="AL44" s="65"/>
      <c r="AO44" s="5"/>
      <c r="AR44" s="5">
        <v>0.947916666666673</v>
      </c>
    </row>
    <row r="45" spans="1:44" s="1" customFormat="1" ht="17.25" customHeight="1">
      <c r="A45" s="65"/>
      <c r="B45" s="16">
        <f t="shared" si="19"/>
        <v>28</v>
      </c>
      <c r="C45" s="22">
        <f t="shared" si="13"/>
        <v>28</v>
      </c>
      <c r="D45" s="23">
        <f t="shared" si="14"/>
        <v>5</v>
      </c>
      <c r="E45" s="24">
        <f t="shared" si="15"/>
        <v>7</v>
      </c>
      <c r="F45" s="27" t="str">
        <f t="shared" si="16"/>
        <v>sáb</v>
      </c>
      <c r="G45" s="137"/>
      <c r="H45" s="127">
        <f t="shared" si="1"/>
        <v>0.16666666666666666</v>
      </c>
      <c r="I45" s="138"/>
      <c r="J45" s="139"/>
      <c r="K45" s="140"/>
      <c r="L45" s="141"/>
      <c r="M45" s="53">
        <f t="shared" si="2"/>
        <v>0</v>
      </c>
      <c r="N45" s="61">
        <f t="shared" si="3"/>
      </c>
      <c r="O45" s="62">
        <f t="shared" si="4"/>
      </c>
      <c r="P45" s="56">
        <f t="shared" si="5"/>
        <v>0</v>
      </c>
      <c r="Q45" s="40">
        <f t="shared" si="17"/>
        <v>0</v>
      </c>
      <c r="R45" s="40">
        <f t="shared" si="18"/>
        <v>0</v>
      </c>
      <c r="S45" s="40">
        <f t="shared" si="6"/>
        <v>0</v>
      </c>
      <c r="T45" s="40">
        <f t="shared" si="7"/>
        <v>0</v>
      </c>
      <c r="U45" s="40">
        <f t="shared" si="8"/>
        <v>0</v>
      </c>
      <c r="V45" s="44">
        <f t="shared" si="9"/>
        <v>0</v>
      </c>
      <c r="W45" s="47">
        <f t="shared" si="20"/>
      </c>
      <c r="X45" s="48">
        <f t="shared" si="10"/>
      </c>
      <c r="Y45" s="181">
        <f t="shared" si="11"/>
        <v>0</v>
      </c>
      <c r="AB45" s="1" t="s">
        <v>85</v>
      </c>
      <c r="AC45" s="168">
        <f>IF(O48&gt;N48,O48-N48,0)</f>
        <v>0</v>
      </c>
      <c r="AF45" s="32" t="s">
        <v>60</v>
      </c>
      <c r="AG45" s="6">
        <f>SUMIF(G17:G47,"Feriado",X17:X47)</f>
        <v>0</v>
      </c>
      <c r="AK45" s="124">
        <f t="shared" si="12"/>
      </c>
      <c r="AL45" s="65"/>
      <c r="AO45" s="5"/>
      <c r="AR45" s="5">
        <v>0.95833333333334</v>
      </c>
    </row>
    <row r="46" spans="1:44" s="1" customFormat="1" ht="17.25" customHeight="1">
      <c r="A46" s="65"/>
      <c r="B46" s="16">
        <f t="shared" si="19"/>
        <v>29</v>
      </c>
      <c r="C46" s="79">
        <f t="shared" si="13"/>
        <v>29</v>
      </c>
      <c r="D46" s="80">
        <f t="shared" si="14"/>
        <v>6</v>
      </c>
      <c r="E46" s="81">
        <f t="shared" si="15"/>
        <v>1</v>
      </c>
      <c r="F46" s="90" t="str">
        <f t="shared" si="16"/>
        <v>dom</v>
      </c>
      <c r="G46" s="132"/>
      <c r="H46" s="127">
        <f t="shared" si="1"/>
        <v>0</v>
      </c>
      <c r="I46" s="144"/>
      <c r="J46" s="145"/>
      <c r="K46" s="146"/>
      <c r="L46" s="147"/>
      <c r="M46" s="82">
        <f t="shared" si="2"/>
        <v>0</v>
      </c>
      <c r="N46" s="83">
        <f t="shared" si="3"/>
      </c>
      <c r="O46" s="84">
        <f t="shared" si="4"/>
      </c>
      <c r="P46" s="85">
        <f t="shared" si="5"/>
        <v>0</v>
      </c>
      <c r="Q46" s="86">
        <f t="shared" si="17"/>
        <v>0</v>
      </c>
      <c r="R46" s="86">
        <f t="shared" si="18"/>
        <v>0</v>
      </c>
      <c r="S46" s="86">
        <f t="shared" si="6"/>
        <v>0</v>
      </c>
      <c r="T46" s="86">
        <f t="shared" si="7"/>
        <v>0</v>
      </c>
      <c r="U46" s="86">
        <f t="shared" si="8"/>
        <v>0</v>
      </c>
      <c r="V46" s="87">
        <f t="shared" si="9"/>
        <v>0</v>
      </c>
      <c r="W46" s="88">
        <f t="shared" si="20"/>
      </c>
      <c r="X46" s="89">
        <f t="shared" si="10"/>
      </c>
      <c r="Y46" s="181">
        <f t="shared" si="11"/>
        <v>0</v>
      </c>
      <c r="Z46" s="34"/>
      <c r="AB46" s="6"/>
      <c r="AF46" s="32" t="s">
        <v>61</v>
      </c>
      <c r="AG46" s="6">
        <f>SUMIF(Y17:Y47,1,X17:X47)</f>
        <v>0</v>
      </c>
      <c r="AK46" s="124">
        <f t="shared" si="12"/>
      </c>
      <c r="AL46" s="65"/>
      <c r="AO46" s="5"/>
      <c r="AR46" s="5">
        <v>0.968750000000007</v>
      </c>
    </row>
    <row r="47" spans="1:44" s="1" customFormat="1" ht="17.25" customHeight="1" thickBot="1">
      <c r="A47" s="65"/>
      <c r="B47" s="16">
        <f>B46+1</f>
        <v>30</v>
      </c>
      <c r="C47" s="35">
        <f t="shared" si="13"/>
        <v>30</v>
      </c>
      <c r="D47" s="36">
        <f>IF(E47&gt;0,IF(E47&gt;E46,D46,D46+1),0)</f>
        <v>6</v>
      </c>
      <c r="E47" s="37">
        <f t="shared" si="15"/>
        <v>2</v>
      </c>
      <c r="F47" s="38" t="str">
        <f t="shared" si="16"/>
        <v>seg</v>
      </c>
      <c r="G47" s="150"/>
      <c r="H47" s="127">
        <f t="shared" si="1"/>
        <v>0.3333333333333333</v>
      </c>
      <c r="I47" s="185"/>
      <c r="J47" s="151"/>
      <c r="K47" s="152"/>
      <c r="L47" s="186"/>
      <c r="M47" s="203">
        <f t="shared" si="2"/>
        <v>0</v>
      </c>
      <c r="N47" s="63">
        <f t="shared" si="3"/>
      </c>
      <c r="O47" s="64">
        <f t="shared" si="4"/>
      </c>
      <c r="P47" s="57">
        <f>IF(L46&gt;0,IF(I47&gt;0,("24:00")-L46+I47,IF(K47&gt;0,("24:00")-L46+K47)),0)</f>
        <v>0</v>
      </c>
      <c r="Q47" s="41">
        <f>IF(P47=0,IF(J46&gt;0,IF(I47&gt;0,("24:00")-J46+I47,IF(K47&gt;0,("24:00")-J46+K47)),0),0)</f>
        <v>0</v>
      </c>
      <c r="R47" s="41">
        <f>IF(P47&gt;0,IF(L46&gt;I47,0,0.45833),0)</f>
        <v>0</v>
      </c>
      <c r="S47" s="41">
        <f t="shared" si="6"/>
        <v>0</v>
      </c>
      <c r="T47" s="41">
        <f t="shared" si="7"/>
        <v>0</v>
      </c>
      <c r="U47" s="41">
        <f t="shared" si="8"/>
        <v>0</v>
      </c>
      <c r="V47" s="45">
        <f t="shared" si="9"/>
        <v>0</v>
      </c>
      <c r="W47" s="49">
        <f t="shared" si="20"/>
      </c>
      <c r="X47" s="50">
        <f t="shared" si="10"/>
      </c>
      <c r="Y47" s="181">
        <f t="shared" si="11"/>
        <v>0</v>
      </c>
      <c r="AF47" s="30" t="s">
        <v>62</v>
      </c>
      <c r="AG47" s="31">
        <f>(AG44+AG45)-AG46</f>
        <v>0</v>
      </c>
      <c r="AK47" s="124">
        <f t="shared" si="12"/>
      </c>
      <c r="AL47" s="65"/>
      <c r="AO47" s="5"/>
      <c r="AR47" s="5">
        <v>0.979166666666674</v>
      </c>
    </row>
    <row r="48" spans="1:44" s="1" customFormat="1" ht="15.75" hidden="1" thickTop="1">
      <c r="A48" s="65"/>
      <c r="H48" s="127">
        <f t="shared" si="1"/>
        <v>0</v>
      </c>
      <c r="M48" s="5"/>
      <c r="N48" s="172">
        <f>SUM(N17:N47)</f>
        <v>0</v>
      </c>
      <c r="O48" s="173">
        <f>SUM(O17:O47)</f>
        <v>0</v>
      </c>
      <c r="P48" s="174"/>
      <c r="Q48" s="174"/>
      <c r="R48" s="174"/>
      <c r="S48" s="174"/>
      <c r="T48" s="174"/>
      <c r="U48" s="174"/>
      <c r="V48" s="175"/>
      <c r="W48" s="176">
        <f>SUM(W17:W47)</f>
        <v>0</v>
      </c>
      <c r="X48" s="176">
        <f>SUM(X17:X47)</f>
        <v>0</v>
      </c>
      <c r="Y48" s="176"/>
      <c r="AA48" s="32"/>
      <c r="AB48" s="6"/>
      <c r="AK48" s="124">
        <f t="shared" si="12"/>
      </c>
      <c r="AL48" s="65"/>
      <c r="AO48" s="5"/>
      <c r="AR48" s="5">
        <v>0.989583333333341</v>
      </c>
    </row>
    <row r="49" spans="1:41" s="1" customFormat="1" ht="16.5" thickBot="1" thickTop="1">
      <c r="A49" s="65"/>
      <c r="C49" s="65"/>
      <c r="D49" s="65"/>
      <c r="E49" s="65"/>
      <c r="F49" s="65"/>
      <c r="G49" s="65"/>
      <c r="H49" s="66"/>
      <c r="I49" s="65"/>
      <c r="J49" s="65"/>
      <c r="K49" s="65"/>
      <c r="L49" s="65"/>
      <c r="M49" s="67"/>
      <c r="N49" s="68"/>
      <c r="O49" s="69"/>
      <c r="P49" s="70"/>
      <c r="Q49" s="70"/>
      <c r="R49" s="70"/>
      <c r="S49" s="70"/>
      <c r="T49" s="70"/>
      <c r="U49" s="70"/>
      <c r="V49" s="71"/>
      <c r="W49" s="72"/>
      <c r="X49" s="72"/>
      <c r="Y49" s="72"/>
      <c r="AA49" s="32"/>
      <c r="AB49" s="6"/>
      <c r="AK49" s="124"/>
      <c r="AL49" s="65"/>
      <c r="AO49" s="5"/>
    </row>
    <row r="50" spans="1:41" s="1" customFormat="1" ht="15.75" thickBot="1">
      <c r="A50" s="65"/>
      <c r="C50" s="217"/>
      <c r="D50" s="217"/>
      <c r="E50" s="217"/>
      <c r="F50" s="217"/>
      <c r="G50" s="217"/>
      <c r="H50" s="217"/>
      <c r="I50" s="218"/>
      <c r="J50" s="102" t="s">
        <v>42</v>
      </c>
      <c r="K50" s="215" t="s">
        <v>67</v>
      </c>
      <c r="L50" s="216"/>
      <c r="M50" s="65"/>
      <c r="N50" s="73"/>
      <c r="O50" s="105">
        <f>IF(W51+W52&gt;0,"Descontos","")</f>
      </c>
      <c r="P50" s="93">
        <f>IF(W51+W52&gt;0,"Dias","")</f>
      </c>
      <c r="Q50" s="93"/>
      <c r="R50" s="93"/>
      <c r="S50" s="93"/>
      <c r="T50" s="93"/>
      <c r="U50" s="93"/>
      <c r="V50" s="94"/>
      <c r="W50" s="92">
        <f>IF(W51+W52&gt;0,"Dias","")</f>
      </c>
      <c r="X50" s="92">
        <f>IF(W51+W52&gt;0,"Valor","")</f>
      </c>
      <c r="Y50" s="73"/>
      <c r="AA50" s="32"/>
      <c r="AB50" s="6"/>
      <c r="AK50" s="124"/>
      <c r="AL50" s="65"/>
      <c r="AO50" s="5"/>
    </row>
    <row r="51" spans="1:41" s="1" customFormat="1" ht="15">
      <c r="A51" s="65"/>
      <c r="C51" s="237">
        <f>IF(J51&gt;0,"Horas extras normais","")</f>
      </c>
      <c r="D51" s="238"/>
      <c r="E51" s="238"/>
      <c r="F51" s="238"/>
      <c r="G51" s="238"/>
      <c r="H51" s="238"/>
      <c r="I51" s="238"/>
      <c r="J51" s="158">
        <f>AC39</f>
        <v>0</v>
      </c>
      <c r="K51" s="223">
        <f>AA34*J51*24</f>
        <v>0</v>
      </c>
      <c r="L51" s="224"/>
      <c r="M51" s="65"/>
      <c r="N51" s="73"/>
      <c r="O51" s="92">
        <f>IF(W51&gt;0,"Faltas","")</f>
      </c>
      <c r="P51" s="202">
        <f>IF(Configuração!E10="Sim",SUM(AA17:AA21),0)</f>
        <v>0</v>
      </c>
      <c r="Q51" s="201"/>
      <c r="R51" s="93"/>
      <c r="S51" s="93"/>
      <c r="T51" s="93"/>
      <c r="U51" s="93"/>
      <c r="V51" s="94"/>
      <c r="W51" s="95">
        <f>IF(Configuração!E10="Sim",SUM(AA17:AA22),0)</f>
        <v>0</v>
      </c>
      <c r="X51" s="96">
        <f>IF(W51&gt;0,W51*AA36,"")</f>
      </c>
      <c r="Y51" s="179"/>
      <c r="AK51" s="124"/>
      <c r="AL51" s="65"/>
      <c r="AO51" s="5"/>
    </row>
    <row r="52" spans="1:41" s="1" customFormat="1" ht="15">
      <c r="A52" s="65"/>
      <c r="C52" s="239">
        <f>IF(J52&gt;0,"Horas extras domingos e feriados","")</f>
      </c>
      <c r="D52" s="240"/>
      <c r="E52" s="240"/>
      <c r="F52" s="240"/>
      <c r="G52" s="240"/>
      <c r="H52" s="240"/>
      <c r="I52" s="240"/>
      <c r="J52" s="157">
        <f>AC44+AC43</f>
        <v>0</v>
      </c>
      <c r="K52" s="208">
        <f>AA35*J52*24</f>
        <v>0</v>
      </c>
      <c r="L52" s="209"/>
      <c r="M52" s="65"/>
      <c r="N52" s="73"/>
      <c r="O52" s="92">
        <f>IF(W52&gt;0,"DSR`s pelas faltas","")</f>
      </c>
      <c r="P52" s="202">
        <f>IF(Configuração!E10="Sim",SUM(AB17:AB21),0)</f>
        <v>0</v>
      </c>
      <c r="Q52" s="201"/>
      <c r="R52" s="93"/>
      <c r="S52" s="93"/>
      <c r="T52" s="93"/>
      <c r="U52" s="93"/>
      <c r="V52" s="94"/>
      <c r="W52" s="95">
        <f>IF(Configuração!E10="Sim",SUM(AB17:AB22),0)</f>
        <v>0</v>
      </c>
      <c r="X52" s="96">
        <f>IF(W52&gt;0,W52*AA36,"")</f>
      </c>
      <c r="Y52" s="179"/>
      <c r="AK52" s="124"/>
      <c r="AL52" s="65"/>
      <c r="AO52" s="5"/>
    </row>
    <row r="53" spans="1:41" s="1" customFormat="1" ht="15">
      <c r="A53" s="65"/>
      <c r="C53" s="239">
        <f>IF(J53&gt;0,"Horas extras de almoço","")</f>
      </c>
      <c r="D53" s="240"/>
      <c r="E53" s="240"/>
      <c r="F53" s="240"/>
      <c r="G53" s="240"/>
      <c r="H53" s="240"/>
      <c r="I53" s="240"/>
      <c r="J53" s="157">
        <f>AG43</f>
        <v>0</v>
      </c>
      <c r="K53" s="208">
        <f>AA34*J53*24</f>
        <v>0</v>
      </c>
      <c r="L53" s="209"/>
      <c r="M53" s="65"/>
      <c r="N53" s="73"/>
      <c r="O53" s="99"/>
      <c r="P53" s="100"/>
      <c r="Q53" s="100"/>
      <c r="R53" s="100"/>
      <c r="S53" s="100"/>
      <c r="T53" s="100"/>
      <c r="U53" s="100"/>
      <c r="V53" s="101"/>
      <c r="W53" s="98"/>
      <c r="X53" s="97">
        <f>IF(W52+W51&gt;0,SUM(X51:X52),0)</f>
        <v>0</v>
      </c>
      <c r="Y53" s="180"/>
      <c r="AK53" s="124"/>
      <c r="AL53" s="65"/>
      <c r="AO53" s="5"/>
    </row>
    <row r="54" spans="1:41" s="1" customFormat="1" ht="15">
      <c r="A54" s="65"/>
      <c r="C54" s="239">
        <f>IF(J54&gt;0,"Horas extras de almoço domingos e feriados","")</f>
      </c>
      <c r="D54" s="240"/>
      <c r="E54" s="240"/>
      <c r="F54" s="240"/>
      <c r="G54" s="240"/>
      <c r="H54" s="240"/>
      <c r="I54" s="240"/>
      <c r="J54" s="157">
        <f>AG47</f>
        <v>0</v>
      </c>
      <c r="K54" s="208">
        <f>AA35*J54*24</f>
        <v>0</v>
      </c>
      <c r="L54" s="209"/>
      <c r="M54" s="65"/>
      <c r="N54" s="73"/>
      <c r="O54" s="73"/>
      <c r="P54" s="65"/>
      <c r="Q54" s="65"/>
      <c r="R54" s="65"/>
      <c r="S54" s="65"/>
      <c r="T54" s="65"/>
      <c r="U54" s="65"/>
      <c r="V54" s="74"/>
      <c r="W54" s="162"/>
      <c r="X54" s="73"/>
      <c r="Y54" s="73"/>
      <c r="AK54" s="124"/>
      <c r="AL54" s="65"/>
      <c r="AO54" s="5"/>
    </row>
    <row r="55" spans="1:41" s="1" customFormat="1" ht="15">
      <c r="A55" s="65"/>
      <c r="C55" s="239">
        <f>IF(J55&gt;0,"Horas extras interjornadas domingos e feriados","")</f>
      </c>
      <c r="D55" s="240"/>
      <c r="E55" s="240"/>
      <c r="F55" s="240"/>
      <c r="G55" s="240"/>
      <c r="H55" s="240"/>
      <c r="I55" s="240"/>
      <c r="J55" s="157">
        <f>AG37</f>
        <v>0</v>
      </c>
      <c r="K55" s="208">
        <f>AA34*J55*24</f>
        <v>0</v>
      </c>
      <c r="L55" s="209"/>
      <c r="M55" s="65"/>
      <c r="N55" s="73"/>
      <c r="O55" s="76" t="s">
        <v>68</v>
      </c>
      <c r="P55" s="65"/>
      <c r="Q55" s="65"/>
      <c r="R55" s="65"/>
      <c r="S55" s="65"/>
      <c r="T55" s="65"/>
      <c r="U55" s="65"/>
      <c r="V55" s="74"/>
      <c r="W55" s="91">
        <f>K59</f>
        <v>0</v>
      </c>
      <c r="X55" s="73"/>
      <c r="Y55" s="73"/>
      <c r="AK55" s="124"/>
      <c r="AL55" s="65"/>
      <c r="AO55" s="5"/>
    </row>
    <row r="56" spans="1:41" s="1" customFormat="1" ht="15.75" thickBot="1">
      <c r="A56" s="65"/>
      <c r="C56" s="239">
        <f>IF(J56&gt;0,"Horas extras interjornadas domingos e feriados","")</f>
      </c>
      <c r="D56" s="240"/>
      <c r="E56" s="240"/>
      <c r="F56" s="240"/>
      <c r="G56" s="240"/>
      <c r="H56" s="240"/>
      <c r="I56" s="240"/>
      <c r="J56" s="157">
        <f>AG41</f>
        <v>0</v>
      </c>
      <c r="K56" s="208">
        <f>AA35*J56*24</f>
        <v>0</v>
      </c>
      <c r="L56" s="209"/>
      <c r="M56" s="65"/>
      <c r="N56" s="73"/>
      <c r="O56" s="77">
        <f>IF(W56&gt;0,"Faltas","")</f>
      </c>
      <c r="P56" s="75"/>
      <c r="Q56" s="75"/>
      <c r="R56" s="75"/>
      <c r="S56" s="75"/>
      <c r="T56" s="75"/>
      <c r="U56" s="75"/>
      <c r="V56" s="78"/>
      <c r="W56" s="91">
        <f>IF(X53&gt;0,X53,0)</f>
        <v>0</v>
      </c>
      <c r="X56" s="68"/>
      <c r="Y56" s="68"/>
      <c r="AK56" s="124"/>
      <c r="AL56" s="65"/>
      <c r="AO56" s="5"/>
    </row>
    <row r="57" spans="1:41" s="1" customFormat="1" ht="15">
      <c r="A57" s="65"/>
      <c r="C57" s="241" t="s">
        <v>71</v>
      </c>
      <c r="D57" s="242"/>
      <c r="E57" s="242"/>
      <c r="F57" s="242"/>
      <c r="G57" s="242"/>
      <c r="H57" s="242"/>
      <c r="I57" s="243"/>
      <c r="J57" s="103"/>
      <c r="K57" s="206">
        <f>SUM(K51:K56)</f>
        <v>0</v>
      </c>
      <c r="L57" s="207"/>
      <c r="M57" s="65"/>
      <c r="N57" s="73"/>
      <c r="O57" s="219" t="s">
        <v>70</v>
      </c>
      <c r="P57" s="106"/>
      <c r="Q57" s="106"/>
      <c r="R57" s="106"/>
      <c r="S57" s="106"/>
      <c r="T57" s="106"/>
      <c r="U57" s="106"/>
      <c r="V57" s="107"/>
      <c r="W57" s="221">
        <f>W55-W56</f>
        <v>0</v>
      </c>
      <c r="X57" s="73"/>
      <c r="Y57" s="73"/>
      <c r="AK57" s="124"/>
      <c r="AL57" s="65"/>
      <c r="AO57" s="5"/>
    </row>
    <row r="58" spans="1:41" s="1" customFormat="1" ht="15.75" thickBot="1">
      <c r="A58" s="65"/>
      <c r="C58" s="244" t="str">
        <f>IF(K58="","","DSR sobre horas extras")</f>
        <v>DSR sobre horas extras</v>
      </c>
      <c r="D58" s="245"/>
      <c r="E58" s="245"/>
      <c r="F58" s="245"/>
      <c r="G58" s="245"/>
      <c r="H58" s="245"/>
      <c r="I58" s="245"/>
      <c r="J58" s="93"/>
      <c r="K58" s="208">
        <f>IF(Configuração!E11="sim",(K57/AA32)*AA31,"")</f>
        <v>0</v>
      </c>
      <c r="L58" s="209"/>
      <c r="M58" s="65"/>
      <c r="N58" s="73"/>
      <c r="O58" s="220"/>
      <c r="P58" s="108"/>
      <c r="Q58" s="108"/>
      <c r="R58" s="108"/>
      <c r="S58" s="108"/>
      <c r="T58" s="108"/>
      <c r="U58" s="108"/>
      <c r="V58" s="109"/>
      <c r="W58" s="222"/>
      <c r="X58" s="73"/>
      <c r="Y58" s="73"/>
      <c r="AK58" s="124"/>
      <c r="AL58" s="65"/>
      <c r="AO58" s="5"/>
    </row>
    <row r="59" spans="1:41" s="1" customFormat="1" ht="15.75" thickBot="1">
      <c r="A59" s="65"/>
      <c r="C59" s="246" t="s">
        <v>69</v>
      </c>
      <c r="D59" s="247"/>
      <c r="E59" s="247"/>
      <c r="F59" s="247"/>
      <c r="G59" s="247"/>
      <c r="H59" s="247"/>
      <c r="I59" s="248"/>
      <c r="J59" s="104"/>
      <c r="K59" s="235">
        <f>SUM(K57:K58)</f>
        <v>0</v>
      </c>
      <c r="L59" s="236"/>
      <c r="M59" s="65"/>
      <c r="N59" s="73"/>
      <c r="O59" s="73"/>
      <c r="P59" s="65"/>
      <c r="Q59" s="65"/>
      <c r="R59" s="65"/>
      <c r="S59" s="65"/>
      <c r="T59" s="65"/>
      <c r="U59" s="65"/>
      <c r="V59" s="74"/>
      <c r="W59" s="73"/>
      <c r="X59" s="73"/>
      <c r="Y59" s="73"/>
      <c r="AK59" s="124"/>
      <c r="AL59" s="65"/>
      <c r="AO59" s="5"/>
    </row>
    <row r="60" spans="1:41" s="1" customFormat="1" ht="15">
      <c r="A60" s="65"/>
      <c r="C60" s="169">
        <f>IF(AC45&gt;0,AC45,"")</f>
      </c>
      <c r="D60" s="170"/>
      <c r="E60" s="170"/>
      <c r="F60" s="171">
        <f>IF(AC45&gt;0,"Horas negativo","")</f>
      </c>
      <c r="G60" s="159"/>
      <c r="H60" s="159"/>
      <c r="I60" s="159"/>
      <c r="J60" s="65"/>
      <c r="K60" s="160"/>
      <c r="L60" s="161">
        <f>IF(O48&gt;0,IF(AC45&gt;0,"Obs. Funcionário ficou devendo horas","Obs. Já descontados as horas devedoras"),"")</f>
      </c>
      <c r="M60" s="65"/>
      <c r="N60" s="73"/>
      <c r="O60" s="73"/>
      <c r="P60" s="65"/>
      <c r="Q60" s="65"/>
      <c r="R60" s="65"/>
      <c r="S60" s="65"/>
      <c r="T60" s="65"/>
      <c r="U60" s="65"/>
      <c r="V60" s="74"/>
      <c r="W60" s="73"/>
      <c r="X60" s="73"/>
      <c r="Y60" s="73"/>
      <c r="AK60" s="124"/>
      <c r="AL60" s="65"/>
      <c r="AO60" s="5"/>
    </row>
    <row r="61" spans="1:41" s="1" customFormat="1" ht="15">
      <c r="A61" s="65"/>
      <c r="C61" s="65"/>
      <c r="D61" s="65"/>
      <c r="E61" s="65"/>
      <c r="F61" s="65"/>
      <c r="G61" s="65"/>
      <c r="H61" s="66"/>
      <c r="I61" s="65"/>
      <c r="J61" s="65"/>
      <c r="K61" s="65"/>
      <c r="L61" s="65"/>
      <c r="M61" s="65"/>
      <c r="N61" s="73"/>
      <c r="O61" s="73"/>
      <c r="P61" s="65"/>
      <c r="Q61" s="65"/>
      <c r="R61" s="65"/>
      <c r="S61" s="65"/>
      <c r="T61" s="65"/>
      <c r="U61" s="65"/>
      <c r="V61" s="74"/>
      <c r="W61" s="73"/>
      <c r="X61" s="123"/>
      <c r="Y61" s="73"/>
      <c r="AK61" s="124"/>
      <c r="AL61" s="65"/>
      <c r="AO61" s="5"/>
    </row>
    <row r="62" spans="1:41" s="121" customFormat="1" ht="15">
      <c r="A62" s="118"/>
      <c r="C62" s="122" t="str">
        <f>Configuração!D16</f>
        <v>Avenida Tiradentes, 602 - Centro - Matão (SP) - CEP 15.990-185</v>
      </c>
      <c r="D62" s="122"/>
      <c r="E62" s="122"/>
      <c r="F62" s="122"/>
      <c r="G62" s="122"/>
      <c r="H62" s="122"/>
      <c r="I62" s="122"/>
      <c r="J62" s="122"/>
      <c r="K62" s="122"/>
      <c r="L62" s="122" t="str">
        <f>Configuração!D17</f>
        <v>(16) 3382-4286</v>
      </c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19" t="str">
        <f>Configuração!D18</f>
        <v>www.secmatao.org.br</v>
      </c>
      <c r="Y62" s="119"/>
      <c r="AK62" s="125"/>
      <c r="AL62" s="118"/>
      <c r="AO62" s="5"/>
    </row>
    <row r="63" spans="1:41" s="1" customFormat="1" ht="15">
      <c r="A63" s="65"/>
      <c r="C63" s="65"/>
      <c r="D63" s="65"/>
      <c r="E63" s="65"/>
      <c r="F63" s="65"/>
      <c r="G63" s="65"/>
      <c r="H63" s="66"/>
      <c r="I63" s="65"/>
      <c r="J63" s="65"/>
      <c r="K63" s="65"/>
      <c r="L63" s="65"/>
      <c r="M63" s="65"/>
      <c r="N63" s="73"/>
      <c r="O63" s="73"/>
      <c r="P63" s="65"/>
      <c r="Q63" s="65"/>
      <c r="R63" s="65"/>
      <c r="S63" s="65"/>
      <c r="T63" s="65"/>
      <c r="U63" s="65"/>
      <c r="V63" s="74"/>
      <c r="W63" s="73"/>
      <c r="X63" s="73"/>
      <c r="Y63" s="73"/>
      <c r="AK63" s="124"/>
      <c r="AL63" s="65"/>
      <c r="AO63" s="5"/>
    </row>
    <row r="64" spans="1:41" s="1" customFormat="1" ht="22.5" customHeight="1">
      <c r="A64" s="65"/>
      <c r="C64" s="65"/>
      <c r="D64" s="65"/>
      <c r="E64" s="65"/>
      <c r="F64" s="65"/>
      <c r="G64" s="65"/>
      <c r="H64" s="66"/>
      <c r="I64" s="65"/>
      <c r="J64" s="65"/>
      <c r="K64" s="65"/>
      <c r="L64" s="65"/>
      <c r="M64" s="65"/>
      <c r="N64" s="73"/>
      <c r="O64" s="73"/>
      <c r="P64" s="65"/>
      <c r="Q64" s="65"/>
      <c r="R64" s="65"/>
      <c r="S64" s="65"/>
      <c r="T64" s="65"/>
      <c r="U64" s="65"/>
      <c r="V64" s="74"/>
      <c r="W64" s="73"/>
      <c r="X64" s="73"/>
      <c r="Y64" s="73"/>
      <c r="AK64" s="124"/>
      <c r="AL64" s="65"/>
      <c r="AO64" s="5"/>
    </row>
    <row r="65" ht="15" hidden="1">
      <c r="AO65" s="5"/>
    </row>
    <row r="66" ht="15" hidden="1">
      <c r="AO66" s="5"/>
    </row>
    <row r="67" ht="15" hidden="1">
      <c r="AO67" s="5"/>
    </row>
    <row r="68" ht="15" hidden="1">
      <c r="AO68" s="5"/>
    </row>
    <row r="69" ht="15" hidden="1">
      <c r="AO69" s="5"/>
    </row>
    <row r="70" ht="15" hidden="1">
      <c r="AO70" s="5"/>
    </row>
    <row r="71" ht="15" hidden="1">
      <c r="AO71" s="5"/>
    </row>
    <row r="72" ht="15" hidden="1">
      <c r="AO72" s="5"/>
    </row>
    <row r="73" ht="15" hidden="1">
      <c r="AO73" s="5"/>
    </row>
    <row r="74" ht="15" hidden="1">
      <c r="AO74" s="5"/>
    </row>
    <row r="75" ht="15" hidden="1">
      <c r="AO75" s="5"/>
    </row>
    <row r="76" ht="15" hidden="1">
      <c r="AO76" s="5"/>
    </row>
    <row r="77" ht="15" hidden="1">
      <c r="AO77" s="5"/>
    </row>
    <row r="78" ht="15" hidden="1">
      <c r="AO78" s="5"/>
    </row>
    <row r="79" ht="15" hidden="1">
      <c r="AO79" s="5"/>
    </row>
    <row r="80" ht="15" hidden="1">
      <c r="AO80" s="5"/>
    </row>
    <row r="81" ht="15" hidden="1">
      <c r="AO81" s="5"/>
    </row>
    <row r="82" ht="15" hidden="1">
      <c r="AO82" s="5"/>
    </row>
    <row r="83" ht="15" hidden="1">
      <c r="AO83" s="5"/>
    </row>
    <row r="84" ht="15" hidden="1">
      <c r="AO84" s="5"/>
    </row>
    <row r="85" ht="15" hidden="1">
      <c r="AO85" s="5"/>
    </row>
    <row r="86" ht="15" hidden="1">
      <c r="AO86" s="5"/>
    </row>
    <row r="87" ht="15" hidden="1">
      <c r="AO87" s="5"/>
    </row>
    <row r="88" ht="15" hidden="1">
      <c r="AO88" s="5"/>
    </row>
    <row r="89" ht="15" hidden="1">
      <c r="AO89" s="5"/>
    </row>
    <row r="90" ht="15" hidden="1">
      <c r="AO90" s="5"/>
    </row>
    <row r="91" ht="15" hidden="1">
      <c r="AO91" s="5"/>
    </row>
    <row r="92" ht="15" hidden="1">
      <c r="AO92" s="5"/>
    </row>
    <row r="93" ht="15" hidden="1">
      <c r="AO93" s="5"/>
    </row>
    <row r="94" ht="15" hidden="1">
      <c r="AO94" s="5"/>
    </row>
    <row r="95" ht="15" hidden="1">
      <c r="AO95" s="5"/>
    </row>
    <row r="96" ht="15" hidden="1">
      <c r="AO96" s="5"/>
    </row>
    <row r="97" ht="15" hidden="1">
      <c r="AO97" s="5"/>
    </row>
    <row r="98" ht="15" hidden="1">
      <c r="AO98" s="5"/>
    </row>
    <row r="99" ht="15" hidden="1">
      <c r="AO99" s="5"/>
    </row>
    <row r="100" ht="15" hidden="1">
      <c r="AO100" s="5"/>
    </row>
    <row r="101" ht="15" hidden="1">
      <c r="AO101" s="5"/>
    </row>
    <row r="102" ht="15" hidden="1">
      <c r="AO102" s="5"/>
    </row>
    <row r="103" ht="15" hidden="1">
      <c r="AO103" s="5"/>
    </row>
    <row r="104" ht="15" hidden="1">
      <c r="AO104" s="5"/>
    </row>
    <row r="105" ht="15" hidden="1">
      <c r="AO105" s="5"/>
    </row>
    <row r="106" ht="15" hidden="1">
      <c r="AO106" s="5"/>
    </row>
    <row r="107" ht="15" hidden="1">
      <c r="AO107" s="5"/>
    </row>
    <row r="108" ht="15" hidden="1">
      <c r="AO108" s="5"/>
    </row>
    <row r="109" ht="15" hidden="1">
      <c r="AO109" s="5"/>
    </row>
    <row r="110" ht="15" hidden="1">
      <c r="AO110" s="5"/>
    </row>
    <row r="111" ht="15" hidden="1">
      <c r="AO111" s="5"/>
    </row>
    <row r="112" ht="15" hidden="1">
      <c r="AO112" s="5"/>
    </row>
    <row r="113" ht="15" hidden="1">
      <c r="AO113" s="5"/>
    </row>
    <row r="114" ht="15" hidden="1">
      <c r="AO114" s="5"/>
    </row>
    <row r="115" ht="15" hidden="1">
      <c r="AO115" s="5"/>
    </row>
    <row r="116" ht="15" hidden="1">
      <c r="AO116" s="5"/>
    </row>
    <row r="117" ht="15" hidden="1">
      <c r="AO117" s="5"/>
    </row>
    <row r="118" ht="15" hidden="1">
      <c r="AO118" s="5"/>
    </row>
    <row r="119" ht="15" hidden="1">
      <c r="AO119" s="5"/>
    </row>
    <row r="120" ht="15" hidden="1">
      <c r="AO120" s="5"/>
    </row>
    <row r="121" ht="15" hidden="1">
      <c r="AO121" s="5"/>
    </row>
    <row r="122" ht="15" hidden="1">
      <c r="AO122" s="5"/>
    </row>
    <row r="123" ht="15" hidden="1">
      <c r="AO123" s="5"/>
    </row>
    <row r="124" ht="15" hidden="1">
      <c r="AO124" s="5"/>
    </row>
    <row r="125" ht="15" hidden="1">
      <c r="AO125" s="5"/>
    </row>
    <row r="126" ht="15" hidden="1">
      <c r="AO126" s="5"/>
    </row>
    <row r="127" ht="15" hidden="1">
      <c r="AO127" s="5"/>
    </row>
    <row r="128" ht="15" hidden="1">
      <c r="AO128" s="5"/>
    </row>
    <row r="129" ht="15" hidden="1">
      <c r="AO129" s="5"/>
    </row>
    <row r="130" ht="15" hidden="1">
      <c r="AO130" s="5"/>
    </row>
    <row r="131" ht="15" hidden="1">
      <c r="AO131" s="5"/>
    </row>
    <row r="132" ht="15" hidden="1">
      <c r="AO132" s="5"/>
    </row>
    <row r="133" ht="15" hidden="1">
      <c r="AO133" s="5"/>
    </row>
    <row r="134" ht="15" hidden="1">
      <c r="AO134" s="5"/>
    </row>
    <row r="135" ht="15" hidden="1">
      <c r="AO135" s="5"/>
    </row>
    <row r="136" ht="15" hidden="1">
      <c r="AO136" s="5"/>
    </row>
    <row r="137" ht="15" hidden="1">
      <c r="AO137" s="5"/>
    </row>
    <row r="138" ht="15" hidden="1">
      <c r="AO138" s="5"/>
    </row>
    <row r="139" ht="15" hidden="1">
      <c r="AO139" s="5"/>
    </row>
    <row r="140" ht="15" hidden="1">
      <c r="AO140" s="5"/>
    </row>
    <row r="141" ht="15" hidden="1">
      <c r="AO141" s="5"/>
    </row>
    <row r="142" ht="15" hidden="1">
      <c r="AO142" s="5"/>
    </row>
    <row r="143" ht="15" hidden="1">
      <c r="AO143" s="5"/>
    </row>
    <row r="144" ht="15" hidden="1">
      <c r="AO144" s="5"/>
    </row>
    <row r="145" ht="15" hidden="1">
      <c r="AO145" s="5"/>
    </row>
    <row r="146" ht="15" hidden="1">
      <c r="AO146" s="5"/>
    </row>
    <row r="147" ht="15" hidden="1">
      <c r="AO147" s="5"/>
    </row>
    <row r="148" ht="15" hidden="1">
      <c r="AO148" s="5"/>
    </row>
    <row r="149" ht="15" hidden="1">
      <c r="AO149" s="5"/>
    </row>
    <row r="150" ht="15" hidden="1">
      <c r="AO150" s="5"/>
    </row>
    <row r="151" ht="15" hidden="1">
      <c r="AO151" s="5"/>
    </row>
    <row r="152" ht="15" hidden="1">
      <c r="AO152" s="5"/>
    </row>
    <row r="153" ht="15" hidden="1">
      <c r="AO153" s="5"/>
    </row>
    <row r="154" ht="15" hidden="1">
      <c r="AO154" s="5"/>
    </row>
    <row r="155" ht="15" hidden="1">
      <c r="AO155" s="5"/>
    </row>
    <row r="156" ht="15" hidden="1">
      <c r="AO156" s="5"/>
    </row>
    <row r="157" ht="15" hidden="1">
      <c r="AO157" s="5"/>
    </row>
    <row r="158" ht="15" hidden="1">
      <c r="AO158" s="5"/>
    </row>
    <row r="159" ht="15" hidden="1">
      <c r="AO159" s="5"/>
    </row>
    <row r="160" ht="15" hidden="1">
      <c r="AO160" s="5"/>
    </row>
    <row r="161" ht="15" hidden="1">
      <c r="AO161" s="5"/>
    </row>
    <row r="162" ht="15" hidden="1">
      <c r="AO162" s="5"/>
    </row>
    <row r="163" ht="15" hidden="1">
      <c r="AO163" s="5"/>
    </row>
    <row r="164" ht="15" hidden="1">
      <c r="AO164" s="5"/>
    </row>
    <row r="165" ht="15" hidden="1">
      <c r="AO165" s="5"/>
    </row>
    <row r="166" ht="15" hidden="1">
      <c r="AO166" s="5"/>
    </row>
    <row r="167" ht="15" hidden="1">
      <c r="AO167" s="5"/>
    </row>
    <row r="168" ht="15" hidden="1">
      <c r="AO168" s="5"/>
    </row>
    <row r="169" ht="15" hidden="1">
      <c r="AO169" s="5"/>
    </row>
    <row r="170" ht="15" hidden="1">
      <c r="AO170" s="5"/>
    </row>
    <row r="171" ht="15" hidden="1">
      <c r="AO171" s="5"/>
    </row>
    <row r="172" ht="15" hidden="1">
      <c r="AO172" s="5"/>
    </row>
    <row r="173" ht="15" hidden="1">
      <c r="AO173" s="5"/>
    </row>
    <row r="174" ht="15" hidden="1">
      <c r="AO174" s="5"/>
    </row>
    <row r="175" ht="15" hidden="1">
      <c r="AO175" s="5"/>
    </row>
    <row r="176" ht="15" hidden="1">
      <c r="AO176" s="5"/>
    </row>
    <row r="177" ht="15" hidden="1">
      <c r="AO177" s="5"/>
    </row>
    <row r="178" ht="15" hidden="1">
      <c r="AO178" s="5"/>
    </row>
    <row r="179" ht="15" hidden="1">
      <c r="AO179" s="5"/>
    </row>
    <row r="180" ht="15" hidden="1">
      <c r="AO180" s="5"/>
    </row>
    <row r="181" ht="15" hidden="1">
      <c r="AO181" s="5"/>
    </row>
    <row r="182" ht="15" hidden="1">
      <c r="AO182" s="5"/>
    </row>
    <row r="183" ht="15" hidden="1">
      <c r="AO183" s="5"/>
    </row>
    <row r="184" ht="15" hidden="1">
      <c r="AO184" s="5"/>
    </row>
    <row r="185" ht="15" hidden="1">
      <c r="AO185" s="5"/>
    </row>
    <row r="186" ht="15" hidden="1">
      <c r="AO186" s="5"/>
    </row>
    <row r="187" ht="15" hidden="1">
      <c r="AO187" s="5"/>
    </row>
    <row r="188" ht="15" hidden="1">
      <c r="AO188" s="5"/>
    </row>
    <row r="189" ht="15" hidden="1">
      <c r="AO189" s="5"/>
    </row>
    <row r="190" ht="15" hidden="1">
      <c r="AO190" s="5"/>
    </row>
    <row r="191" ht="15" hidden="1">
      <c r="AO191" s="5"/>
    </row>
    <row r="192" ht="15" hidden="1">
      <c r="AO192" s="5"/>
    </row>
    <row r="193" ht="15" hidden="1">
      <c r="AO193" s="5"/>
    </row>
    <row r="194" ht="15" hidden="1">
      <c r="AO194" s="5"/>
    </row>
    <row r="195" ht="15" hidden="1">
      <c r="AO195" s="5"/>
    </row>
    <row r="196" ht="15" hidden="1">
      <c r="AO196" s="5"/>
    </row>
    <row r="197" ht="15" hidden="1">
      <c r="AO197" s="5"/>
    </row>
    <row r="198" ht="15" hidden="1">
      <c r="AO198" s="5"/>
    </row>
    <row r="199" ht="15" hidden="1">
      <c r="AO199" s="5"/>
    </row>
    <row r="200" ht="15" hidden="1">
      <c r="AO200" s="5"/>
    </row>
    <row r="201" ht="15" hidden="1">
      <c r="AO201" s="5"/>
    </row>
    <row r="202" ht="15" hidden="1">
      <c r="AO202" s="5"/>
    </row>
    <row r="203" ht="15" hidden="1">
      <c r="AO203" s="5"/>
    </row>
    <row r="204" ht="15" hidden="1">
      <c r="AO204" s="5"/>
    </row>
    <row r="205" ht="15" hidden="1">
      <c r="AO205" s="5"/>
    </row>
    <row r="206" ht="15" hidden="1">
      <c r="AO206" s="5"/>
    </row>
    <row r="207" ht="15" hidden="1">
      <c r="AO207" s="5"/>
    </row>
    <row r="208" ht="15" hidden="1">
      <c r="AO208" s="5"/>
    </row>
    <row r="209" ht="15" hidden="1">
      <c r="AO209" s="5"/>
    </row>
    <row r="210" ht="15" hidden="1">
      <c r="AO210" s="5"/>
    </row>
    <row r="211" ht="15" hidden="1">
      <c r="AO211" s="5"/>
    </row>
    <row r="212" ht="15" hidden="1">
      <c r="AO212" s="5"/>
    </row>
    <row r="213" ht="15" hidden="1">
      <c r="AO213" s="5"/>
    </row>
    <row r="214" ht="15" hidden="1">
      <c r="AO214" s="5"/>
    </row>
    <row r="215" ht="15" hidden="1">
      <c r="AO215" s="5"/>
    </row>
    <row r="216" ht="15" hidden="1">
      <c r="AO216" s="5"/>
    </row>
    <row r="217" ht="15" hidden="1">
      <c r="AO217" s="5"/>
    </row>
    <row r="218" ht="15" hidden="1">
      <c r="AO218" s="5"/>
    </row>
    <row r="219" ht="15" hidden="1">
      <c r="AO219" s="5"/>
    </row>
    <row r="220" ht="15" hidden="1">
      <c r="AO220" s="5"/>
    </row>
    <row r="221" ht="15" hidden="1">
      <c r="AO221" s="5"/>
    </row>
    <row r="222" ht="15" hidden="1">
      <c r="AO222" s="5"/>
    </row>
    <row r="223" ht="15" hidden="1">
      <c r="AO223" s="5"/>
    </row>
    <row r="224" ht="15" hidden="1">
      <c r="AO224" s="5"/>
    </row>
    <row r="225" ht="15" hidden="1">
      <c r="AO225" s="5"/>
    </row>
    <row r="226" ht="15" hidden="1">
      <c r="AO226" s="5"/>
    </row>
    <row r="227" ht="15" hidden="1">
      <c r="AO227" s="5"/>
    </row>
    <row r="228" ht="15" hidden="1">
      <c r="AO228" s="5"/>
    </row>
    <row r="229" ht="15" hidden="1">
      <c r="AO229" s="5"/>
    </row>
    <row r="230" ht="15" hidden="1">
      <c r="AO230" s="5"/>
    </row>
    <row r="231" ht="15" hidden="1">
      <c r="AO231" s="5"/>
    </row>
    <row r="232" ht="15" hidden="1">
      <c r="AO232" s="5"/>
    </row>
    <row r="233" ht="15" hidden="1">
      <c r="AO233" s="5"/>
    </row>
    <row r="234" ht="15" hidden="1">
      <c r="AO234" s="5"/>
    </row>
    <row r="235" ht="15" hidden="1">
      <c r="AO235" s="5"/>
    </row>
    <row r="236" ht="15" hidden="1">
      <c r="AO236" s="5"/>
    </row>
    <row r="237" ht="15" hidden="1">
      <c r="AO237" s="5"/>
    </row>
    <row r="238" ht="15" hidden="1">
      <c r="AO238" s="5"/>
    </row>
    <row r="239" ht="15" hidden="1">
      <c r="AO239" s="5"/>
    </row>
    <row r="240" ht="15" hidden="1">
      <c r="AO240" s="5"/>
    </row>
    <row r="241" ht="15" hidden="1">
      <c r="AO241" s="5"/>
    </row>
    <row r="242" ht="15" hidden="1">
      <c r="AO242" s="5"/>
    </row>
    <row r="243" ht="15" hidden="1">
      <c r="AO243" s="5"/>
    </row>
    <row r="244" ht="15" hidden="1">
      <c r="AO244" s="5"/>
    </row>
    <row r="245" ht="15" hidden="1">
      <c r="AO245" s="5"/>
    </row>
    <row r="246" ht="15" hidden="1">
      <c r="AO246" s="5"/>
    </row>
    <row r="247" ht="15" hidden="1">
      <c r="AO247" s="5"/>
    </row>
    <row r="248" ht="15" hidden="1">
      <c r="AO248" s="5"/>
    </row>
    <row r="249" ht="15" hidden="1">
      <c r="AO249" s="5"/>
    </row>
    <row r="250" ht="15" hidden="1">
      <c r="AO250" s="5"/>
    </row>
    <row r="251" ht="15" hidden="1">
      <c r="AO251" s="5"/>
    </row>
    <row r="252" ht="15" hidden="1">
      <c r="AO252" s="5"/>
    </row>
    <row r="253" ht="15" hidden="1">
      <c r="AO253" s="5"/>
    </row>
    <row r="254" ht="15" hidden="1">
      <c r="AO254" s="5"/>
    </row>
    <row r="255" ht="15" hidden="1">
      <c r="AO255" s="5"/>
    </row>
    <row r="256" ht="15" hidden="1">
      <c r="AO256" s="5"/>
    </row>
    <row r="257" ht="15" hidden="1">
      <c r="AO257" s="5"/>
    </row>
    <row r="258" ht="15" hidden="1">
      <c r="AO258" s="5"/>
    </row>
    <row r="259" ht="15" hidden="1">
      <c r="AO259" s="5"/>
    </row>
    <row r="260" ht="15" hidden="1">
      <c r="AO260" s="5"/>
    </row>
    <row r="261" ht="15" hidden="1">
      <c r="AO261" s="5"/>
    </row>
    <row r="262" ht="15" hidden="1">
      <c r="AO262" s="5"/>
    </row>
    <row r="263" ht="15" hidden="1">
      <c r="AO263" s="5"/>
    </row>
    <row r="264" ht="15" hidden="1">
      <c r="AO264" s="5"/>
    </row>
    <row r="265" ht="15" hidden="1">
      <c r="AO265" s="5"/>
    </row>
    <row r="266" ht="15" hidden="1">
      <c r="AO266" s="5"/>
    </row>
    <row r="267" ht="15" hidden="1">
      <c r="AO267" s="5"/>
    </row>
    <row r="268" ht="15" hidden="1">
      <c r="AO268" s="5"/>
    </row>
    <row r="269" ht="15" hidden="1">
      <c r="AO269" s="5"/>
    </row>
    <row r="270" ht="15" hidden="1">
      <c r="AO270" s="5"/>
    </row>
    <row r="271" ht="15" hidden="1">
      <c r="AO271" s="5"/>
    </row>
    <row r="272" ht="15" hidden="1">
      <c r="AO272" s="5"/>
    </row>
    <row r="273" ht="15" hidden="1">
      <c r="AO273" s="5"/>
    </row>
    <row r="274" ht="15" hidden="1">
      <c r="AO274" s="5"/>
    </row>
    <row r="275" ht="15" hidden="1">
      <c r="AO275" s="5"/>
    </row>
    <row r="276" ht="15" hidden="1">
      <c r="AO276" s="5"/>
    </row>
    <row r="277" ht="15" hidden="1">
      <c r="AO277" s="5"/>
    </row>
    <row r="278" ht="15" hidden="1">
      <c r="AO278" s="5"/>
    </row>
    <row r="279" ht="15" hidden="1">
      <c r="AO279" s="5"/>
    </row>
    <row r="280" ht="15" hidden="1">
      <c r="AO280" s="5"/>
    </row>
    <row r="281" ht="15" hidden="1">
      <c r="AO281" s="5"/>
    </row>
    <row r="282" ht="15" hidden="1">
      <c r="AO282" s="5"/>
    </row>
    <row r="283" ht="15" hidden="1">
      <c r="AO283" s="5"/>
    </row>
    <row r="284" ht="15" hidden="1">
      <c r="AO284" s="5"/>
    </row>
    <row r="285" ht="15" hidden="1">
      <c r="AO285" s="5"/>
    </row>
    <row r="286" ht="15" hidden="1">
      <c r="AO286" s="5"/>
    </row>
    <row r="287" ht="15" hidden="1">
      <c r="AO287" s="5"/>
    </row>
    <row r="288" ht="15" hidden="1">
      <c r="AO288" s="5"/>
    </row>
    <row r="289" ht="15" hidden="1">
      <c r="AO289" s="5"/>
    </row>
    <row r="290" ht="15" hidden="1">
      <c r="AO290" s="5"/>
    </row>
    <row r="291" ht="15" hidden="1">
      <c r="AO291" s="5"/>
    </row>
    <row r="292" ht="15" hidden="1">
      <c r="AO292" s="5"/>
    </row>
    <row r="293" ht="15" hidden="1">
      <c r="AO293" s="5"/>
    </row>
    <row r="294" ht="15" hidden="1">
      <c r="AO294" s="5"/>
    </row>
    <row r="295" ht="15" hidden="1">
      <c r="AO295" s="5"/>
    </row>
    <row r="296" ht="15" hidden="1">
      <c r="AO296" s="5"/>
    </row>
    <row r="297" ht="15" hidden="1">
      <c r="AO297" s="5"/>
    </row>
    <row r="298" ht="15" hidden="1">
      <c r="AO298" s="5"/>
    </row>
    <row r="299" ht="15" hidden="1">
      <c r="AO299" s="5"/>
    </row>
    <row r="300" ht="15" hidden="1">
      <c r="AO300" s="5"/>
    </row>
    <row r="301" ht="15" hidden="1">
      <c r="AO301" s="5"/>
    </row>
    <row r="302" ht="15" hidden="1">
      <c r="AO302" s="5"/>
    </row>
    <row r="303" ht="15" hidden="1">
      <c r="AO303" s="5"/>
    </row>
    <row r="304" ht="15" hidden="1">
      <c r="AO304" s="5"/>
    </row>
    <row r="305" ht="15" hidden="1">
      <c r="AO305" s="5"/>
    </row>
    <row r="306" ht="15" hidden="1">
      <c r="AO306" s="5"/>
    </row>
    <row r="307" ht="15" hidden="1">
      <c r="AO307" s="5"/>
    </row>
    <row r="308" ht="15" hidden="1">
      <c r="AO308" s="5"/>
    </row>
    <row r="309" ht="15" hidden="1">
      <c r="AO309" s="5"/>
    </row>
    <row r="310" ht="15" hidden="1">
      <c r="AO310" s="5"/>
    </row>
    <row r="311" ht="15" hidden="1">
      <c r="AO311" s="5"/>
    </row>
    <row r="312" ht="15" hidden="1">
      <c r="AO312" s="5"/>
    </row>
    <row r="313" ht="15" hidden="1">
      <c r="AO313" s="5"/>
    </row>
    <row r="314" ht="15" hidden="1">
      <c r="AO314" s="5"/>
    </row>
    <row r="315" ht="15" hidden="1">
      <c r="AO315" s="5"/>
    </row>
    <row r="316" ht="15" hidden="1">
      <c r="AO316" s="5"/>
    </row>
    <row r="317" ht="15" hidden="1">
      <c r="AO317" s="5"/>
    </row>
    <row r="318" ht="15" hidden="1">
      <c r="AO318" s="5"/>
    </row>
    <row r="319" ht="15" hidden="1">
      <c r="AO319" s="5"/>
    </row>
    <row r="320" ht="15" hidden="1">
      <c r="AO320" s="5"/>
    </row>
    <row r="321" ht="15" hidden="1">
      <c r="AO321" s="5"/>
    </row>
    <row r="322" ht="15" hidden="1">
      <c r="AO322" s="5"/>
    </row>
    <row r="323" ht="15" hidden="1">
      <c r="AO323" s="5"/>
    </row>
    <row r="324" ht="15" hidden="1">
      <c r="AO324" s="5"/>
    </row>
    <row r="325" ht="15" hidden="1">
      <c r="AO325" s="5"/>
    </row>
    <row r="326" ht="15" hidden="1">
      <c r="AO326" s="5"/>
    </row>
    <row r="327" ht="15" hidden="1">
      <c r="AO327" s="5"/>
    </row>
    <row r="328" ht="15" hidden="1">
      <c r="AO328" s="5"/>
    </row>
    <row r="329" ht="15" hidden="1">
      <c r="AO329" s="5"/>
    </row>
    <row r="330" ht="15" hidden="1">
      <c r="AO330" s="5"/>
    </row>
    <row r="331" ht="15" hidden="1">
      <c r="AO331" s="5"/>
    </row>
    <row r="332" ht="15" hidden="1">
      <c r="AO332" s="5"/>
    </row>
    <row r="333" ht="15" hidden="1">
      <c r="AO333" s="5"/>
    </row>
    <row r="334" ht="15" hidden="1">
      <c r="AO334" s="5"/>
    </row>
    <row r="335" ht="15" hidden="1">
      <c r="AO335" s="5"/>
    </row>
    <row r="336" ht="15" hidden="1">
      <c r="AO336" s="5"/>
    </row>
    <row r="337" ht="15" hidden="1">
      <c r="AO337" s="5"/>
    </row>
    <row r="338" ht="15" hidden="1">
      <c r="AO338" s="5"/>
    </row>
    <row r="339" ht="15" hidden="1">
      <c r="AO339" s="5"/>
    </row>
    <row r="340" ht="15" hidden="1">
      <c r="AO340" s="5"/>
    </row>
    <row r="341" ht="15" hidden="1">
      <c r="AO341" s="5"/>
    </row>
    <row r="342" ht="15" hidden="1">
      <c r="AO342" s="5"/>
    </row>
    <row r="343" ht="15" hidden="1">
      <c r="AO343" s="5"/>
    </row>
    <row r="344" ht="15" hidden="1">
      <c r="AO344" s="5"/>
    </row>
    <row r="345" ht="15" hidden="1">
      <c r="AO345" s="5"/>
    </row>
    <row r="346" ht="15" hidden="1">
      <c r="AO346" s="5"/>
    </row>
    <row r="347" ht="15" hidden="1">
      <c r="AO347" s="5"/>
    </row>
    <row r="348" ht="15" hidden="1">
      <c r="AO348" s="5"/>
    </row>
    <row r="349" ht="15" hidden="1">
      <c r="AO349" s="5"/>
    </row>
    <row r="350" ht="15" hidden="1">
      <c r="AO350" s="5"/>
    </row>
    <row r="351" ht="15" hidden="1">
      <c r="AO351" s="5"/>
    </row>
    <row r="352" ht="15" hidden="1">
      <c r="AO352" s="5"/>
    </row>
    <row r="353" ht="15" hidden="1">
      <c r="AO353" s="5"/>
    </row>
    <row r="354" ht="15" hidden="1">
      <c r="AO354" s="5"/>
    </row>
    <row r="355" ht="15" hidden="1">
      <c r="AO355" s="5"/>
    </row>
    <row r="356" ht="15" hidden="1">
      <c r="AO356" s="5"/>
    </row>
    <row r="357" ht="15" hidden="1">
      <c r="AO357" s="5"/>
    </row>
    <row r="358" ht="15" hidden="1">
      <c r="AO358" s="5"/>
    </row>
    <row r="359" ht="15" hidden="1">
      <c r="AO359" s="5"/>
    </row>
    <row r="360" ht="15" hidden="1">
      <c r="AO360" s="5"/>
    </row>
    <row r="361" ht="15" hidden="1">
      <c r="AO361" s="5"/>
    </row>
    <row r="362" ht="15" hidden="1">
      <c r="AO362" s="5"/>
    </row>
    <row r="363" ht="15" hidden="1">
      <c r="AO363" s="5"/>
    </row>
    <row r="364" ht="15" hidden="1">
      <c r="AO364" s="5"/>
    </row>
    <row r="365" ht="15" hidden="1">
      <c r="AO365" s="5"/>
    </row>
    <row r="366" ht="15" hidden="1">
      <c r="AO366" s="5"/>
    </row>
    <row r="367" ht="15" hidden="1">
      <c r="AO367" s="5"/>
    </row>
    <row r="368" ht="15" hidden="1">
      <c r="AO368" s="5"/>
    </row>
    <row r="369" ht="15" hidden="1">
      <c r="AO369" s="5"/>
    </row>
    <row r="370" ht="15" hidden="1">
      <c r="AO370" s="5"/>
    </row>
    <row r="371" ht="15" hidden="1">
      <c r="AO371" s="5"/>
    </row>
    <row r="372" ht="15" hidden="1">
      <c r="AO372" s="5"/>
    </row>
    <row r="373" ht="15" hidden="1">
      <c r="AO373" s="5"/>
    </row>
    <row r="374" ht="15" hidden="1">
      <c r="AO374" s="5"/>
    </row>
    <row r="375" ht="15" hidden="1">
      <c r="AO375" s="5"/>
    </row>
    <row r="376" ht="15" hidden="1">
      <c r="AO376" s="5"/>
    </row>
    <row r="377" ht="15" hidden="1">
      <c r="AO377" s="5"/>
    </row>
    <row r="378" ht="15" hidden="1">
      <c r="AO378" s="5"/>
    </row>
    <row r="379" ht="15" hidden="1">
      <c r="AO379" s="5"/>
    </row>
    <row r="380" ht="15" hidden="1">
      <c r="AO380" s="5"/>
    </row>
    <row r="381" ht="15" hidden="1">
      <c r="AO381" s="5"/>
    </row>
    <row r="382" ht="15" hidden="1">
      <c r="AO382" s="5"/>
    </row>
    <row r="383" ht="15" hidden="1">
      <c r="AO383" s="5"/>
    </row>
    <row r="384" ht="15" hidden="1">
      <c r="AO384" s="5"/>
    </row>
    <row r="385" ht="15" hidden="1">
      <c r="AO385" s="5"/>
    </row>
    <row r="386" ht="15" hidden="1">
      <c r="AO386" s="5"/>
    </row>
    <row r="387" ht="15" hidden="1">
      <c r="AO387" s="5"/>
    </row>
  </sheetData>
  <sheetProtection password="DF43" sheet="1" objects="1" scenarios="1" selectLockedCells="1"/>
  <mergeCells count="40">
    <mergeCell ref="K59:L59"/>
    <mergeCell ref="C51:I51"/>
    <mergeCell ref="C52:I52"/>
    <mergeCell ref="C53:I53"/>
    <mergeCell ref="C54:I54"/>
    <mergeCell ref="C55:I55"/>
    <mergeCell ref="C56:I56"/>
    <mergeCell ref="C57:I57"/>
    <mergeCell ref="C58:I58"/>
    <mergeCell ref="C59:I59"/>
    <mergeCell ref="K55:L55"/>
    <mergeCell ref="K56:L56"/>
    <mergeCell ref="F9:G9"/>
    <mergeCell ref="F11:G11"/>
    <mergeCell ref="C7:F7"/>
    <mergeCell ref="C6:F6"/>
    <mergeCell ref="G6:N6"/>
    <mergeCell ref="G7:N7"/>
    <mergeCell ref="K10:O10"/>
    <mergeCell ref="K11:O11"/>
    <mergeCell ref="I9:I12"/>
    <mergeCell ref="K9:O9"/>
    <mergeCell ref="K50:L50"/>
    <mergeCell ref="C50:I50"/>
    <mergeCell ref="O57:O58"/>
    <mergeCell ref="W57:W58"/>
    <mergeCell ref="K51:L51"/>
    <mergeCell ref="K52:L52"/>
    <mergeCell ref="K53:L53"/>
    <mergeCell ref="K54:L54"/>
    <mergeCell ref="K12:O12"/>
    <mergeCell ref="K13:O13"/>
    <mergeCell ref="K57:L57"/>
    <mergeCell ref="K58:L58"/>
    <mergeCell ref="J15:O15"/>
    <mergeCell ref="C8:W8"/>
    <mergeCell ref="C10:G10"/>
    <mergeCell ref="C12:G12"/>
    <mergeCell ref="C13:I13"/>
    <mergeCell ref="C15:I15"/>
  </mergeCells>
  <conditionalFormatting sqref="AA31 AF35 F17:F47">
    <cfRule type="cellIs" priority="14" dxfId="10" operator="equal">
      <formula>"dom"</formula>
    </cfRule>
  </conditionalFormatting>
  <conditionalFormatting sqref="AA32">
    <cfRule type="cellIs" priority="13" dxfId="0" operator="notEqual">
      <formula>1</formula>
    </cfRule>
  </conditionalFormatting>
  <conditionalFormatting sqref="K58:L58 J51:L56 W51:Y52 W56 M17:M47">
    <cfRule type="cellIs" priority="10" dxfId="11" operator="equal">
      <formula>0</formula>
    </cfRule>
  </conditionalFormatting>
  <conditionalFormatting sqref="G17:G47">
    <cfRule type="cellIs" priority="9" dxfId="2" operator="equal">
      <formula>"Feriado"</formula>
    </cfRule>
  </conditionalFormatting>
  <conditionalFormatting sqref="W57:W58">
    <cfRule type="cellIs" priority="8" dxfId="12" operator="lessThan">
      <formula>0</formula>
    </cfRule>
  </conditionalFormatting>
  <conditionalFormatting sqref="O50:Y53">
    <cfRule type="cellIs" priority="5" dxfId="13" operator="equal">
      <formula>0</formula>
    </cfRule>
    <cfRule type="containsBlanks" priority="6" dxfId="3">
      <formula>LEN(TRIM(O50))=0</formula>
    </cfRule>
  </conditionalFormatting>
  <conditionalFormatting sqref="AK17:AK47 J15:O15">
    <cfRule type="notContainsBlanks" priority="3" dxfId="2">
      <formula>LEN(TRIM(J15))&gt;0</formula>
    </cfRule>
  </conditionalFormatting>
  <conditionalFormatting sqref="G17:G47">
    <cfRule type="cellIs" priority="23" dxfId="14" operator="equal" stopIfTrue="1">
      <formula>"feriado"</formula>
    </cfRule>
  </conditionalFormatting>
  <conditionalFormatting sqref="C58:I58">
    <cfRule type="expression" priority="1" dxfId="8" stopIfTrue="1">
      <formula>$K$58&gt;=1</formula>
    </cfRule>
  </conditionalFormatting>
  <dataValidations count="5">
    <dataValidation type="list" allowBlank="1" showInputMessage="1" showErrorMessage="1" sqref="G17:G47">
      <formula1>$AF$31:$AF$35</formula1>
    </dataValidation>
    <dataValidation type="list" sqref="I17:I47">
      <formula1>$AO$17:$AO$36</formula1>
    </dataValidation>
    <dataValidation type="list" allowBlank="1" sqref="J17:J47">
      <formula1>$AP$17:$AP$36</formula1>
    </dataValidation>
    <dataValidation type="list" allowBlank="1" sqref="K17:K47">
      <formula1>$AQ$17:$AQ$35</formula1>
    </dataValidation>
    <dataValidation type="list" allowBlank="1" sqref="L17:L47">
      <formula1>$AR$17:$AR$48</formula1>
    </dataValidation>
  </dataValidations>
  <printOptions horizontalCentered="1"/>
  <pageMargins left="0.15748031496062992" right="0.15748031496062992" top="0.31496062992125984" bottom="0.2755905511811024" header="0.15748031496062992" footer="0.15748031496062992"/>
  <pageSetup fitToHeight="1" fitToWidth="1" horizontalDpi="300" verticalDpi="300" orientation="portrait" paperSize="9" scale="75" r:id="rId2"/>
  <ignoredErrors>
    <ignoredError sqref="E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1"/>
  <sheetViews>
    <sheetView showGridLines="0" showRowColHeaders="0" zoomScalePageLayoutView="0" workbookViewId="0" topLeftCell="A1">
      <selection activeCell="D18" sqref="D18:I18"/>
    </sheetView>
  </sheetViews>
  <sheetFormatPr defaultColWidth="0" defaultRowHeight="15" zeroHeight="1"/>
  <cols>
    <col min="1" max="2" width="9.140625" style="155" customWidth="1"/>
    <col min="3" max="3" width="12.421875" style="155" customWidth="1"/>
    <col min="4" max="4" width="9.140625" style="155" customWidth="1"/>
    <col min="5" max="5" width="10.28125" style="155" customWidth="1"/>
    <col min="6" max="6" width="9.140625" style="155" customWidth="1"/>
    <col min="7" max="8" width="10.00390625" style="155" customWidth="1"/>
    <col min="9" max="9" width="17.140625" style="155" customWidth="1"/>
    <col min="10" max="10" width="9.140625" style="155" customWidth="1"/>
    <col min="11" max="255" width="9.140625" style="155" hidden="1" customWidth="1"/>
    <col min="256" max="16384" width="6.28125" style="155" hidden="1" customWidth="1"/>
  </cols>
  <sheetData>
    <row r="1" ht="15"/>
    <row r="2" ht="18.75">
      <c r="I2" s="192" t="s">
        <v>80</v>
      </c>
    </row>
    <row r="3" ht="15"/>
    <row r="4" ht="15">
      <c r="U4" s="155" t="s">
        <v>72</v>
      </c>
    </row>
    <row r="5" ht="15">
      <c r="U5" s="155" t="s">
        <v>79</v>
      </c>
    </row>
    <row r="6" spans="2:9" ht="13.5" customHeight="1">
      <c r="B6" s="257"/>
      <c r="C6" s="257"/>
      <c r="D6" s="257"/>
      <c r="E6" s="257"/>
      <c r="F6" s="257"/>
      <c r="G6" s="257"/>
      <c r="H6" s="257"/>
      <c r="I6" s="257"/>
    </row>
    <row r="7" spans="2:5" ht="15">
      <c r="B7" s="256" t="s">
        <v>88</v>
      </c>
      <c r="C7" s="256"/>
      <c r="D7" s="256"/>
      <c r="E7" s="256"/>
    </row>
    <row r="8" spans="2:5" ht="15">
      <c r="B8" s="259" t="s">
        <v>14</v>
      </c>
      <c r="C8" s="259"/>
      <c r="D8" s="259"/>
      <c r="E8" s="193">
        <v>0.5</v>
      </c>
    </row>
    <row r="9" spans="2:5" ht="15">
      <c r="B9" s="260" t="s">
        <v>15</v>
      </c>
      <c r="C9" s="260"/>
      <c r="D9" s="260"/>
      <c r="E9" s="194">
        <v>1</v>
      </c>
    </row>
    <row r="10" spans="2:5" ht="15">
      <c r="B10" s="195"/>
      <c r="C10" s="195"/>
      <c r="D10" s="196" t="s">
        <v>19</v>
      </c>
      <c r="E10" s="197" t="s">
        <v>72</v>
      </c>
    </row>
    <row r="11" spans="2:5" ht="15">
      <c r="B11" s="198"/>
      <c r="C11" s="198"/>
      <c r="D11" s="199" t="s">
        <v>92</v>
      </c>
      <c r="E11" s="200" t="s">
        <v>72</v>
      </c>
    </row>
    <row r="12" ht="15"/>
    <row r="13" spans="2:9" ht="15">
      <c r="B13" s="255" t="s">
        <v>93</v>
      </c>
      <c r="C13" s="255"/>
      <c r="D13" s="255"/>
      <c r="E13" s="255"/>
      <c r="F13" s="255"/>
      <c r="G13" s="255"/>
      <c r="H13" s="255"/>
      <c r="I13" s="255"/>
    </row>
    <row r="14" spans="2:9" ht="15">
      <c r="B14" s="250" t="s">
        <v>96</v>
      </c>
      <c r="C14" s="250"/>
      <c r="D14" s="253" t="s">
        <v>90</v>
      </c>
      <c r="E14" s="253"/>
      <c r="F14" s="253"/>
      <c r="G14" s="253"/>
      <c r="H14" s="253"/>
      <c r="I14" s="253"/>
    </row>
    <row r="15" spans="2:9" ht="15">
      <c r="B15" s="251" t="s">
        <v>97</v>
      </c>
      <c r="C15" s="251"/>
      <c r="D15" s="258" t="s">
        <v>102</v>
      </c>
      <c r="E15" s="258"/>
      <c r="F15" s="258"/>
      <c r="G15" s="258"/>
      <c r="H15" s="258"/>
      <c r="I15" s="258"/>
    </row>
    <row r="16" spans="2:9" ht="15">
      <c r="B16" s="251" t="s">
        <v>98</v>
      </c>
      <c r="C16" s="251"/>
      <c r="D16" s="258" t="s">
        <v>105</v>
      </c>
      <c r="E16" s="258"/>
      <c r="F16" s="258"/>
      <c r="G16" s="258"/>
      <c r="H16" s="258"/>
      <c r="I16" s="258"/>
    </row>
    <row r="17" spans="2:9" ht="15">
      <c r="B17" s="251" t="s">
        <v>99</v>
      </c>
      <c r="C17" s="251"/>
      <c r="D17" s="254" t="s">
        <v>104</v>
      </c>
      <c r="E17" s="254"/>
      <c r="F17" s="254"/>
      <c r="G17" s="254"/>
      <c r="H17" s="254"/>
      <c r="I17" s="254"/>
    </row>
    <row r="18" spans="2:9" ht="15">
      <c r="B18" s="252" t="s">
        <v>100</v>
      </c>
      <c r="C18" s="252"/>
      <c r="D18" s="249" t="s">
        <v>103</v>
      </c>
      <c r="E18" s="249"/>
      <c r="F18" s="249"/>
      <c r="G18" s="249"/>
      <c r="H18" s="249"/>
      <c r="I18" s="249"/>
    </row>
    <row r="19" ht="15"/>
    <row r="20" ht="44.25" customHeight="1">
      <c r="A20" s="187"/>
    </row>
    <row r="21" spans="1:10" s="190" customFormat="1" ht="15">
      <c r="A21" s="191" t="s">
        <v>95</v>
      </c>
      <c r="B21" s="188"/>
      <c r="C21" s="188"/>
      <c r="D21" s="188"/>
      <c r="E21" s="188"/>
      <c r="F21" s="188"/>
      <c r="G21" s="188"/>
      <c r="H21" s="188"/>
      <c r="I21" s="189" t="s">
        <v>94</v>
      </c>
      <c r="J21" s="188"/>
    </row>
    <row r="22" ht="15"/>
  </sheetData>
  <sheetProtection password="DF43" sheet="1" objects="1" scenarios="1" selectLockedCells="1"/>
  <mergeCells count="15">
    <mergeCell ref="B13:I13"/>
    <mergeCell ref="B7:E7"/>
    <mergeCell ref="B6:I6"/>
    <mergeCell ref="D16:I16"/>
    <mergeCell ref="B8:D8"/>
    <mergeCell ref="B9:D9"/>
    <mergeCell ref="D15:I15"/>
    <mergeCell ref="D18:I18"/>
    <mergeCell ref="B14:C14"/>
    <mergeCell ref="B15:C15"/>
    <mergeCell ref="B16:C16"/>
    <mergeCell ref="B17:C17"/>
    <mergeCell ref="B18:C18"/>
    <mergeCell ref="D14:I14"/>
    <mergeCell ref="D17:I17"/>
  </mergeCells>
  <dataValidations count="1">
    <dataValidation type="list" allowBlank="1" showInputMessage="1" showErrorMessage="1" sqref="E10:E11">
      <formula1>$U$4:$U$5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H15"/>
  <sheetViews>
    <sheetView showGridLines="0" showRowColHeaders="0" zoomScalePageLayoutView="0" workbookViewId="0" topLeftCell="A1">
      <selection activeCell="I19" sqref="I19"/>
    </sheetView>
  </sheetViews>
  <sheetFormatPr defaultColWidth="0" defaultRowHeight="15" zeroHeight="1"/>
  <cols>
    <col min="1" max="7" width="9.140625" style="177" customWidth="1"/>
    <col min="8" max="8" width="11.57421875" style="177" customWidth="1"/>
    <col min="9" max="9" width="9.140625" style="177" customWidth="1"/>
    <col min="10" max="16384" width="9.140625" style="177" hidden="1" customWidth="1"/>
  </cols>
  <sheetData>
    <row r="1" ht="15"/>
    <row r="2" ht="15"/>
    <row r="3" ht="15"/>
    <row r="4" ht="15"/>
    <row r="5" ht="15"/>
    <row r="6" ht="15"/>
    <row r="7" spans="2:8" ht="15">
      <c r="B7" s="155"/>
      <c r="C7" s="155"/>
      <c r="D7" s="155"/>
      <c r="E7" s="155"/>
      <c r="F7" s="155"/>
      <c r="G7" s="155"/>
      <c r="H7" s="155"/>
    </row>
    <row r="8" spans="2:8" ht="15">
      <c r="B8" s="155"/>
      <c r="C8" s="155" t="s">
        <v>86</v>
      </c>
      <c r="D8" s="155"/>
      <c r="E8" s="155"/>
      <c r="F8" s="155"/>
      <c r="G8" s="155"/>
      <c r="H8" s="155"/>
    </row>
    <row r="9" spans="2:8" ht="7.5" customHeight="1">
      <c r="B9" s="155"/>
      <c r="C9" s="155"/>
      <c r="D9" s="155"/>
      <c r="E9" s="155"/>
      <c r="F9" s="155"/>
      <c r="G9" s="155"/>
      <c r="H9" s="155"/>
    </row>
    <row r="10" spans="2:8" ht="15">
      <c r="B10" s="155"/>
      <c r="C10" s="155" t="s">
        <v>87</v>
      </c>
      <c r="D10" s="155"/>
      <c r="E10" s="155"/>
      <c r="F10" s="155"/>
      <c r="G10" s="155"/>
      <c r="H10" s="155"/>
    </row>
    <row r="11" spans="2:8" ht="15">
      <c r="B11" s="155"/>
      <c r="C11" s="155"/>
      <c r="D11" s="155"/>
      <c r="E11" s="155"/>
      <c r="F11" s="155"/>
      <c r="G11" s="155"/>
      <c r="H11" s="155"/>
    </row>
    <row r="12" spans="2:8" ht="15">
      <c r="B12" s="155"/>
      <c r="C12" s="155"/>
      <c r="D12" s="155"/>
      <c r="E12" s="155"/>
      <c r="F12" s="155"/>
      <c r="G12" s="155"/>
      <c r="H12" s="155"/>
    </row>
    <row r="13" spans="2:8" ht="15">
      <c r="B13" s="155"/>
      <c r="C13" s="155"/>
      <c r="D13" s="155"/>
      <c r="E13" s="155"/>
      <c r="F13" s="155"/>
      <c r="G13" s="155"/>
      <c r="H13" s="155"/>
    </row>
    <row r="14" spans="2:8" ht="15">
      <c r="B14" s="155"/>
      <c r="C14" s="155"/>
      <c r="D14" s="155"/>
      <c r="E14" s="155"/>
      <c r="F14" s="155"/>
      <c r="G14" s="155"/>
      <c r="H14" s="155"/>
    </row>
    <row r="15" spans="2:8" ht="15">
      <c r="B15" s="155"/>
      <c r="C15" s="155"/>
      <c r="D15" s="155"/>
      <c r="E15" s="155"/>
      <c r="F15" s="155"/>
      <c r="G15" s="155"/>
      <c r="H15" s="155"/>
    </row>
    <row r="16" ht="15"/>
    <row r="17" ht="15"/>
    <row r="18" ht="15"/>
    <row r="19" ht="15"/>
  </sheetData>
  <sheetProtection password="DF43" sheet="1" objects="1" scenarios="1" selectLockedCells="1"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Acácio Jr Tecnol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Horas Extras</dc:title>
  <dc:subject>Horas Extras</dc:subject>
  <dc:creator>Acácio Júnior</dc:creator>
  <cp:keywords>Cálculo de Horas Extras</cp:keywords>
  <dc:description>(15) 9613 6264 / 3522 0726 / 3524 1185</dc:description>
  <cp:lastModifiedBy>mnunes</cp:lastModifiedBy>
  <cp:lastPrinted>2011-04-03T19:25:22Z</cp:lastPrinted>
  <dcterms:created xsi:type="dcterms:W3CDTF">2011-01-08T15:55:19Z</dcterms:created>
  <dcterms:modified xsi:type="dcterms:W3CDTF">2011-07-08T18:37:56Z</dcterms:modified>
  <cp:category>Cálculos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